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9570" windowHeight="7500" firstSheet="59" activeTab="60"/>
  </bookViews>
  <sheets>
    <sheet name="CEF Abril 2018" sheetId="53" state="hidden" r:id="rId1"/>
    <sheet name="CEF Maio 2018" sheetId="54" state="hidden" r:id="rId2"/>
    <sheet name="Rp 14 - 03 a 05 2018" sheetId="55" state="hidden" r:id="rId3"/>
    <sheet name="CEF Junho 2018" sheetId="56" state="hidden" r:id="rId4"/>
    <sheet name="CEF Julho 2018" sheetId="57" state="hidden" r:id="rId5"/>
    <sheet name="CEF Agosto 2018" sheetId="58" state="hidden" r:id="rId6"/>
    <sheet name="CEF Setembro 2018" sheetId="59" state="hidden" r:id="rId7"/>
    <sheet name="Rp 14 - 06 a 09 2018" sheetId="60" state="hidden" r:id="rId8"/>
    <sheet name="CEF Outubro 2018" sheetId="61" state="hidden" r:id="rId9"/>
    <sheet name="Rp 14 - 10 2018" sheetId="63" state="hidden" r:id="rId10"/>
    <sheet name="CEF Novembro 2018" sheetId="62" state="hidden" r:id="rId11"/>
    <sheet name="Rp 14 - 11 2018" sheetId="64" state="hidden" r:id="rId12"/>
    <sheet name="CEF Dezembro 2018" sheetId="65" state="hidden" r:id="rId13"/>
    <sheet name="Rp 14 - 12 2018" sheetId="66" state="hidden" r:id="rId14"/>
    <sheet name="Rp 14 - ANUAL 2018" sheetId="73" state="hidden" r:id="rId15"/>
    <sheet name="CEF Janeiro 2019" sheetId="67" state="hidden" r:id="rId16"/>
    <sheet name="Rp 14 - 01 2019" sheetId="69" state="hidden" r:id="rId17"/>
    <sheet name="CEF Fevereiro 2019" sheetId="68" state="hidden" r:id="rId18"/>
    <sheet name="Rp 14 - 02 2019" sheetId="70" state="hidden" r:id="rId19"/>
    <sheet name="CEF Março 2019" sheetId="71" state="hidden" r:id="rId20"/>
    <sheet name="Rp 14 - 03 2019" sheetId="72" state="hidden" r:id="rId21"/>
    <sheet name="CEF Abril 2019" sheetId="74" state="hidden" r:id="rId22"/>
    <sheet name="Rp 14 - 04 2019" sheetId="75" state="hidden" r:id="rId23"/>
    <sheet name="CEF Maio 2019" sheetId="76" state="hidden" r:id="rId24"/>
    <sheet name="Rp 14 - 05 2019" sheetId="77" state="hidden" r:id="rId25"/>
    <sheet name="CEF Junho 2019" sheetId="78" state="hidden" r:id="rId26"/>
    <sheet name="Rp 14 - 06 2019" sheetId="79" state="hidden" r:id="rId27"/>
    <sheet name="CEF Julho 2019" sheetId="80" state="hidden" r:id="rId28"/>
    <sheet name="Rp 14 - 07 2019" sheetId="81" state="hidden" r:id="rId29"/>
    <sheet name="CEF Agosto 2019" sheetId="82" state="hidden" r:id="rId30"/>
    <sheet name="Rp 14 - 08 2019" sheetId="83" state="hidden" r:id="rId31"/>
    <sheet name="CEF Setembro 2019" sheetId="84" state="hidden" r:id="rId32"/>
    <sheet name="Rp 14 - 09 2019" sheetId="85" state="hidden" r:id="rId33"/>
    <sheet name="CEF Outubro 2019" sheetId="86" state="hidden" r:id="rId34"/>
    <sheet name="Rp 14 - 10 2019" sheetId="87" state="hidden" r:id="rId35"/>
    <sheet name="CEF Novembro 2019" sheetId="88" state="hidden" r:id="rId36"/>
    <sheet name="Rp 14 - 11 2019" sheetId="89" state="hidden" r:id="rId37"/>
    <sheet name="CEF Dezembro 2019" sheetId="90" state="hidden" r:id="rId38"/>
    <sheet name="Rp 14 - 12 2019" sheetId="91" state="hidden" r:id="rId39"/>
    <sheet name="Rp 14 - Anual 2019" sheetId="98" state="hidden" r:id="rId40"/>
    <sheet name="CEF Janeiro 2020" sheetId="92" state="hidden" r:id="rId41"/>
    <sheet name="Rp 14 - 01 2020" sheetId="93" state="hidden" r:id="rId42"/>
    <sheet name="CEF Fevereiro 2020" sheetId="94" state="hidden" r:id="rId43"/>
    <sheet name="Rp 14 - 02 2020" sheetId="95" state="hidden" r:id="rId44"/>
    <sheet name="CEF Março 2020" sheetId="96" state="hidden" r:id="rId45"/>
    <sheet name="Rp 14 - 03 2020" sheetId="97" state="hidden" r:id="rId46"/>
    <sheet name="CEF Abril 2020" sheetId="99" state="hidden" r:id="rId47"/>
    <sheet name="Rp 14 - 04 2020" sheetId="100" state="hidden" r:id="rId48"/>
    <sheet name="CEF Maio 2020" sheetId="101" state="hidden" r:id="rId49"/>
    <sheet name="Rp 14 - 05 2020" sheetId="102" state="hidden" r:id="rId50"/>
    <sheet name="CEF Junho 2020" sheetId="103" state="hidden" r:id="rId51"/>
    <sheet name="Rp 14 - 06 2020" sheetId="104" state="hidden" r:id="rId52"/>
    <sheet name="CEF Julho 2020" sheetId="105" state="hidden" r:id="rId53"/>
    <sheet name="Rp 14 - 07 2020" sheetId="106" state="hidden" r:id="rId54"/>
    <sheet name="CEF Agosto 2020" sheetId="107" state="hidden" r:id="rId55"/>
    <sheet name="Rp 14 - 08 2020" sheetId="108" state="hidden" r:id="rId56"/>
    <sheet name="CEF Setembro 2020" sheetId="109" state="hidden" r:id="rId57"/>
    <sheet name="CEF 901925-5 Setembro 2020 " sheetId="111" state="hidden" r:id="rId58"/>
    <sheet name="Rp 14 - 09 2020" sheetId="110" state="hidden" r:id="rId59"/>
    <sheet name="CEF 1925-8 Outubro 2020" sheetId="112" r:id="rId60"/>
    <sheet name="CEF 901925-5 Outubro 2020" sheetId="113" r:id="rId61"/>
    <sheet name="Rp 14 - 10 2020" sheetId="114" state="hidden" r:id="rId62"/>
  </sheets>
  <definedNames>
    <definedName name="_xlnm.Print_Area" localSheetId="59">'CEF 1925-8 Outubro 2020'!$A$20:$K$31</definedName>
    <definedName name="_xlnm.Print_Area" localSheetId="60">'CEF 901925-5 Outubro 2020'!$A$52:$K$96</definedName>
    <definedName name="_xlnm.Print_Area" localSheetId="57">'CEF 901925-5 Setembro 2020 '!$A$19:$K$63</definedName>
    <definedName name="_xlnm.Print_Area" localSheetId="0">'CEF Abril 2018'!$A$82:$K$129</definedName>
    <definedName name="_xlnm.Print_Area" localSheetId="21">'CEF Abril 2019'!$A$60:$K$106</definedName>
    <definedName name="_xlnm.Print_Area" localSheetId="46">'CEF Abril 2020'!$A$82:$K$128</definedName>
    <definedName name="_xlnm.Print_Area" localSheetId="5">'CEF Agosto 2018'!$A$53:$K$100</definedName>
    <definedName name="_xlnm.Print_Area" localSheetId="29">'CEF Agosto 2019'!$A$62:$K$108</definedName>
    <definedName name="_xlnm.Print_Area" localSheetId="54">'CEF Agosto 2020'!$A$58:$K$104</definedName>
    <definedName name="_xlnm.Print_Area" localSheetId="12">'CEF Dezembro 2018'!$A$53:$K$99</definedName>
    <definedName name="_xlnm.Print_Area" localSheetId="37">'CEF Dezembro 2019'!$A$73:$K$119</definedName>
    <definedName name="_xlnm.Print_Area" localSheetId="17">'CEF Fevereiro 2019'!$A$56:$K$102</definedName>
    <definedName name="_xlnm.Print_Area" localSheetId="42">'CEF Fevereiro 2020'!$A$62:$K$108</definedName>
    <definedName name="_xlnm.Print_Area" localSheetId="15">'CEF Janeiro 2019'!$A$59:$K$105</definedName>
    <definedName name="_xlnm.Print_Area" localSheetId="40">'CEF Janeiro 2020'!$A$69:$K$115</definedName>
    <definedName name="_xlnm.Print_Area" localSheetId="4">'CEF Julho 2018'!$A$70:$K$117</definedName>
    <definedName name="_xlnm.Print_Area" localSheetId="27">'CEF Julho 2019'!$A$69:$K$115</definedName>
    <definedName name="_xlnm.Print_Area" localSheetId="52">'CEF Julho 2020'!$A$58:$K$104</definedName>
    <definedName name="_xlnm.Print_Area" localSheetId="3">'CEF Junho 2018'!$A$92:$K$139</definedName>
    <definedName name="_xlnm.Print_Area" localSheetId="25">'CEF Junho 2019'!$A$67:$K$114</definedName>
    <definedName name="_xlnm.Print_Area" localSheetId="50">'CEF Junho 2020'!$A$66:$K$112</definedName>
    <definedName name="_xlnm.Print_Area" localSheetId="1">'CEF Maio 2018'!$A$109:$K$156</definedName>
    <definedName name="_xlnm.Print_Area" localSheetId="23">'CEF Maio 2019'!$A$59:$K$105</definedName>
    <definedName name="_xlnm.Print_Area" localSheetId="48">'CEF Maio 2020'!$A$73:$K$119</definedName>
    <definedName name="_xlnm.Print_Area" localSheetId="19">'CEF Março 2019'!$A$62:$K$108</definedName>
    <definedName name="_xlnm.Print_Area" localSheetId="44">'CEF Março 2020'!$A$67:$K$113</definedName>
    <definedName name="_xlnm.Print_Area" localSheetId="10">'CEF Novembro 2018'!$A$65:$K$112</definedName>
    <definedName name="_xlnm.Print_Area" localSheetId="35">'CEF Novembro 2019'!$A$63:$K$109</definedName>
    <definedName name="_xlnm.Print_Area" localSheetId="8">'CEF Outubro 2018'!$A$55:$K$102</definedName>
    <definedName name="_xlnm.Print_Area" localSheetId="33">'CEF Outubro 2019'!$A$60:$K$106</definedName>
    <definedName name="_xlnm.Print_Area" localSheetId="6">'CEF Setembro 2018'!$A$47:$K$94</definedName>
    <definedName name="_xlnm.Print_Area" localSheetId="31">'CEF Setembro 2019'!$A$56:$K$102</definedName>
    <definedName name="_xlnm.Print_Area" localSheetId="56">'CEF Setembro 2020'!$A$61:$K$107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13"/>
  <c r="I91" i="109"/>
  <c r="I66" i="113"/>
  <c r="B68" i="114"/>
  <c r="E61"/>
  <c r="D61"/>
  <c r="H30"/>
  <c r="F30"/>
  <c r="I30" s="1"/>
  <c r="B30"/>
  <c r="E29"/>
  <c r="F28"/>
  <c r="C28"/>
  <c r="E28" s="1"/>
  <c r="E27"/>
  <c r="D27"/>
  <c r="D30" s="1"/>
  <c r="E26"/>
  <c r="E25"/>
  <c r="E24"/>
  <c r="E23"/>
  <c r="E22"/>
  <c r="E21"/>
  <c r="E20"/>
  <c r="F19"/>
  <c r="C19"/>
  <c r="E19" s="1"/>
  <c r="B19"/>
  <c r="E18"/>
  <c r="E17"/>
  <c r="E16"/>
  <c r="E15"/>
  <c r="E14"/>
  <c r="F13"/>
  <c r="E13"/>
  <c r="E30" s="1"/>
  <c r="E31" s="1"/>
  <c r="C13"/>
  <c r="C30" s="1"/>
  <c r="B13"/>
  <c r="B6"/>
  <c r="B9" s="1"/>
  <c r="B64" s="1"/>
  <c r="B65" s="1"/>
  <c r="D3"/>
  <c r="I96" i="113"/>
  <c r="E66"/>
  <c r="E65"/>
  <c r="E61"/>
  <c r="I91"/>
  <c r="E60"/>
  <c r="E62"/>
  <c r="E58"/>
  <c r="E70"/>
  <c r="E63"/>
  <c r="E72"/>
  <c r="E69"/>
  <c r="E68"/>
  <c r="E93"/>
  <c r="E71"/>
  <c r="E92"/>
  <c r="E91"/>
  <c r="E90"/>
  <c r="E67"/>
  <c r="E89"/>
  <c r="I76"/>
  <c r="E88"/>
  <c r="I75"/>
  <c r="E64"/>
  <c r="E87"/>
  <c r="E86"/>
  <c r="E85"/>
  <c r="E84"/>
  <c r="E83"/>
  <c r="E82"/>
  <c r="I68"/>
  <c r="E81"/>
  <c r="I67"/>
  <c r="E80"/>
  <c r="E79"/>
  <c r="E78"/>
  <c r="E59"/>
  <c r="E77"/>
  <c r="I62"/>
  <c r="E76"/>
  <c r="I61"/>
  <c r="E94"/>
  <c r="I60"/>
  <c r="E75"/>
  <c r="I59"/>
  <c r="E74"/>
  <c r="I58"/>
  <c r="E73"/>
  <c r="E48"/>
  <c r="D48"/>
  <c r="E27" i="112"/>
  <c r="E26"/>
  <c r="I30"/>
  <c r="I29"/>
  <c r="I28"/>
  <c r="E30"/>
  <c r="I27"/>
  <c r="E29"/>
  <c r="I26"/>
  <c r="E28"/>
  <c r="E16"/>
  <c r="D16"/>
  <c r="E96" i="113" l="1"/>
  <c r="E98" s="1"/>
  <c r="I63"/>
  <c r="K63" s="1"/>
  <c r="I71"/>
  <c r="I31" i="112"/>
  <c r="K31" s="1"/>
  <c r="C65" i="114"/>
  <c r="F61"/>
  <c r="F19" i="110"/>
  <c r="F28"/>
  <c r="F13"/>
  <c r="H30"/>
  <c r="B65"/>
  <c r="C13"/>
  <c r="B13"/>
  <c r="B19"/>
  <c r="I63" i="111" l="1"/>
  <c r="I37"/>
  <c r="E61"/>
  <c r="E60"/>
  <c r="E59"/>
  <c r="I58"/>
  <c r="E58"/>
  <c r="E57"/>
  <c r="E56"/>
  <c r="E55"/>
  <c r="E54"/>
  <c r="E53"/>
  <c r="E52"/>
  <c r="E43"/>
  <c r="I50"/>
  <c r="E51"/>
  <c r="E50"/>
  <c r="E49"/>
  <c r="E48"/>
  <c r="E47"/>
  <c r="E46"/>
  <c r="E45"/>
  <c r="I43"/>
  <c r="E44"/>
  <c r="I42"/>
  <c r="E42"/>
  <c r="E41"/>
  <c r="E40"/>
  <c r="E39"/>
  <c r="E38"/>
  <c r="E37"/>
  <c r="E36"/>
  <c r="I35"/>
  <c r="E35"/>
  <c r="I34"/>
  <c r="E34"/>
  <c r="E33"/>
  <c r="E32"/>
  <c r="E31"/>
  <c r="E30"/>
  <c r="I29"/>
  <c r="E29"/>
  <c r="I28"/>
  <c r="E28"/>
  <c r="I27"/>
  <c r="E27"/>
  <c r="I26"/>
  <c r="E26"/>
  <c r="I25"/>
  <c r="E25"/>
  <c r="E15"/>
  <c r="D15"/>
  <c r="I79" i="109"/>
  <c r="I71"/>
  <c r="B68" i="110"/>
  <c r="E61"/>
  <c r="D61"/>
  <c r="F30"/>
  <c r="I30" s="1"/>
  <c r="B30"/>
  <c r="E29"/>
  <c r="C28"/>
  <c r="E28" s="1"/>
  <c r="D27"/>
  <c r="D30" s="1"/>
  <c r="E26"/>
  <c r="E25"/>
  <c r="E24"/>
  <c r="E23"/>
  <c r="E22"/>
  <c r="E21"/>
  <c r="E20"/>
  <c r="C19"/>
  <c r="E19" s="1"/>
  <c r="E18"/>
  <c r="E17"/>
  <c r="E16"/>
  <c r="E15"/>
  <c r="E14"/>
  <c r="B6"/>
  <c r="B9" s="1"/>
  <c r="B64" s="1"/>
  <c r="D3"/>
  <c r="I107" i="109"/>
  <c r="E103"/>
  <c r="E102"/>
  <c r="E101"/>
  <c r="I100"/>
  <c r="E100"/>
  <c r="E99"/>
  <c r="E98"/>
  <c r="E97"/>
  <c r="E96"/>
  <c r="E95"/>
  <c r="E94"/>
  <c r="E93"/>
  <c r="I92"/>
  <c r="E92"/>
  <c r="E91"/>
  <c r="E90"/>
  <c r="E89"/>
  <c r="E88"/>
  <c r="E87"/>
  <c r="E86"/>
  <c r="I85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I70"/>
  <c r="E70"/>
  <c r="I69"/>
  <c r="E69"/>
  <c r="I68"/>
  <c r="E68"/>
  <c r="I67"/>
  <c r="E67"/>
  <c r="E57"/>
  <c r="D57"/>
  <c r="C30" i="110" l="1"/>
  <c r="E27"/>
  <c r="I30" i="111"/>
  <c r="K30" s="1"/>
  <c r="E63"/>
  <c r="I38"/>
  <c r="E105" i="109"/>
  <c r="E106" s="1"/>
  <c r="I72"/>
  <c r="K72" s="1"/>
  <c r="C65" i="110"/>
  <c r="E13"/>
  <c r="E30" s="1"/>
  <c r="E31" s="1"/>
  <c r="F61"/>
  <c r="F19" i="108"/>
  <c r="F28"/>
  <c r="F13"/>
  <c r="H30"/>
  <c r="F62" i="110" l="1"/>
  <c r="C19" i="108"/>
  <c r="C28"/>
  <c r="D27"/>
  <c r="C13"/>
  <c r="F60"/>
  <c r="E91" i="107"/>
  <c r="B6" i="108"/>
  <c r="B9" s="1"/>
  <c r="B67" l="1"/>
  <c r="E60"/>
  <c r="D60"/>
  <c r="F30"/>
  <c r="E29"/>
  <c r="E28"/>
  <c r="E27"/>
  <c r="D30"/>
  <c r="E26"/>
  <c r="E25"/>
  <c r="E24"/>
  <c r="E23"/>
  <c r="E22"/>
  <c r="E21"/>
  <c r="E20"/>
  <c r="E19"/>
  <c r="B30"/>
  <c r="E18"/>
  <c r="E17"/>
  <c r="E16"/>
  <c r="E15"/>
  <c r="E14"/>
  <c r="C30"/>
  <c r="B63"/>
  <c r="B64" s="1"/>
  <c r="D3"/>
  <c r="I104" i="107"/>
  <c r="E100"/>
  <c r="E99"/>
  <c r="E98"/>
  <c r="I97"/>
  <c r="E97"/>
  <c r="E89"/>
  <c r="E88"/>
  <c r="E87"/>
  <c r="E95"/>
  <c r="E86"/>
  <c r="E90"/>
  <c r="E85"/>
  <c r="I89"/>
  <c r="E94"/>
  <c r="I88"/>
  <c r="E84"/>
  <c r="E83"/>
  <c r="E82"/>
  <c r="E93"/>
  <c r="E92"/>
  <c r="E81"/>
  <c r="I82"/>
  <c r="E80"/>
  <c r="I81"/>
  <c r="E79"/>
  <c r="E78"/>
  <c r="E77"/>
  <c r="E76"/>
  <c r="E75"/>
  <c r="E74"/>
  <c r="E73"/>
  <c r="I74"/>
  <c r="I73"/>
  <c r="E72"/>
  <c r="E71"/>
  <c r="E70"/>
  <c r="E69"/>
  <c r="E68"/>
  <c r="E67"/>
  <c r="I67"/>
  <c r="E96"/>
  <c r="I66"/>
  <c r="E66"/>
  <c r="I65"/>
  <c r="E65"/>
  <c r="I64"/>
  <c r="E64"/>
  <c r="E54"/>
  <c r="D54"/>
  <c r="I30" i="108" l="1"/>
  <c r="C64"/>
  <c r="E102" i="107"/>
  <c r="E103" s="1"/>
  <c r="I69"/>
  <c r="K69" s="1"/>
  <c r="E13" i="108"/>
  <c r="E30" s="1"/>
  <c r="E31" s="1"/>
  <c r="F11" i="106"/>
  <c r="F28" s="1"/>
  <c r="I28" s="1"/>
  <c r="F17"/>
  <c r="H28"/>
  <c r="C26"/>
  <c r="D25"/>
  <c r="C17"/>
  <c r="E17" s="1"/>
  <c r="C11"/>
  <c r="B17"/>
  <c r="B11"/>
  <c r="B72"/>
  <c r="E65"/>
  <c r="D65"/>
  <c r="E27"/>
  <c r="E26"/>
  <c r="E25"/>
  <c r="E24"/>
  <c r="E23"/>
  <c r="E22"/>
  <c r="E21"/>
  <c r="E20"/>
  <c r="E19"/>
  <c r="E18"/>
  <c r="E16"/>
  <c r="E15"/>
  <c r="E14"/>
  <c r="E13"/>
  <c r="E12"/>
  <c r="B28"/>
  <c r="B7"/>
  <c r="B68" s="1"/>
  <c r="B69" s="1"/>
  <c r="D3"/>
  <c r="I104" i="105"/>
  <c r="E100"/>
  <c r="E99"/>
  <c r="E98"/>
  <c r="I97"/>
  <c r="E97"/>
  <c r="E96"/>
  <c r="E95"/>
  <c r="E94"/>
  <c r="E93"/>
  <c r="E92"/>
  <c r="E91"/>
  <c r="E90"/>
  <c r="I89"/>
  <c r="E89"/>
  <c r="I88"/>
  <c r="E88"/>
  <c r="E87"/>
  <c r="E86"/>
  <c r="E85"/>
  <c r="E84"/>
  <c r="E83"/>
  <c r="I82"/>
  <c r="E82"/>
  <c r="I81"/>
  <c r="E81"/>
  <c r="E80"/>
  <c r="E79"/>
  <c r="E78"/>
  <c r="E77"/>
  <c r="E76"/>
  <c r="E75"/>
  <c r="I74"/>
  <c r="E74"/>
  <c r="I73"/>
  <c r="E73"/>
  <c r="E72"/>
  <c r="E71"/>
  <c r="E70"/>
  <c r="E69"/>
  <c r="E68"/>
  <c r="I67"/>
  <c r="E67"/>
  <c r="I66"/>
  <c r="E66"/>
  <c r="I65"/>
  <c r="E65"/>
  <c r="I64"/>
  <c r="E64"/>
  <c r="E54"/>
  <c r="D54"/>
  <c r="F61" i="108" l="1"/>
  <c r="C28" i="106"/>
  <c r="E11"/>
  <c r="E28" s="1"/>
  <c r="E29" s="1"/>
  <c r="D28"/>
  <c r="I69" i="105"/>
  <c r="K69" s="1"/>
  <c r="E102"/>
  <c r="E103" s="1"/>
  <c r="C69" i="106"/>
  <c r="F65"/>
  <c r="F17" i="104"/>
  <c r="F11"/>
  <c r="H28"/>
  <c r="D61"/>
  <c r="F66" i="106" l="1"/>
  <c r="B5" i="104"/>
  <c r="C11"/>
  <c r="C26"/>
  <c r="D25"/>
  <c r="C17"/>
  <c r="B11"/>
  <c r="B72" l="1"/>
  <c r="E65"/>
  <c r="D65"/>
  <c r="D28"/>
  <c r="C28"/>
  <c r="B28"/>
  <c r="E27"/>
  <c r="E26"/>
  <c r="E25"/>
  <c r="E28" s="1"/>
  <c r="E24"/>
  <c r="E23"/>
  <c r="E22"/>
  <c r="E21"/>
  <c r="E20"/>
  <c r="E19"/>
  <c r="E18"/>
  <c r="E17"/>
  <c r="E16"/>
  <c r="E15"/>
  <c r="E14"/>
  <c r="E13"/>
  <c r="E12"/>
  <c r="F28"/>
  <c r="I28" s="1"/>
  <c r="E11"/>
  <c r="B7"/>
  <c r="B68" s="1"/>
  <c r="B69" s="1"/>
  <c r="D3"/>
  <c r="I112" i="103"/>
  <c r="E108"/>
  <c r="E107"/>
  <c r="E106"/>
  <c r="I105"/>
  <c r="E105"/>
  <c r="E104"/>
  <c r="E103"/>
  <c r="E102"/>
  <c r="E101"/>
  <c r="E100"/>
  <c r="E99"/>
  <c r="E98"/>
  <c r="I97"/>
  <c r="E97"/>
  <c r="I96"/>
  <c r="E96"/>
  <c r="E95"/>
  <c r="E94"/>
  <c r="E93"/>
  <c r="E92"/>
  <c r="E91"/>
  <c r="I90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I75"/>
  <c r="E75"/>
  <c r="I74"/>
  <c r="E74"/>
  <c r="I73"/>
  <c r="E73"/>
  <c r="I72"/>
  <c r="E72"/>
  <c r="E62"/>
  <c r="D62"/>
  <c r="E29" i="104" l="1"/>
  <c r="C69"/>
  <c r="I77" i="103"/>
  <c r="K77" s="1"/>
  <c r="E110"/>
  <c r="E111" s="1"/>
  <c r="F65" i="104"/>
  <c r="F17" i="102"/>
  <c r="F11"/>
  <c r="H28"/>
  <c r="C17"/>
  <c r="C11"/>
  <c r="E50"/>
  <c r="E65" s="1"/>
  <c r="E80" i="10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C28" i="102"/>
  <c r="E17"/>
  <c r="B72"/>
  <c r="D65"/>
  <c r="D28"/>
  <c r="B28"/>
  <c r="E27"/>
  <c r="E26"/>
  <c r="E25"/>
  <c r="E24"/>
  <c r="E23"/>
  <c r="E22"/>
  <c r="E21"/>
  <c r="E20"/>
  <c r="E19"/>
  <c r="E18"/>
  <c r="E16"/>
  <c r="E15"/>
  <c r="E14"/>
  <c r="E13"/>
  <c r="E12"/>
  <c r="E11"/>
  <c r="B7"/>
  <c r="B68" s="1"/>
  <c r="B69" s="1"/>
  <c r="D3"/>
  <c r="I119" i="101"/>
  <c r="I112"/>
  <c r="I104"/>
  <c r="I103"/>
  <c r="I97"/>
  <c r="I96"/>
  <c r="I89"/>
  <c r="I88"/>
  <c r="I82"/>
  <c r="I81"/>
  <c r="I80"/>
  <c r="I79"/>
  <c r="E79"/>
  <c r="E69"/>
  <c r="D69"/>
  <c r="F66" i="104" l="1"/>
  <c r="F28" i="102"/>
  <c r="I28" s="1"/>
  <c r="F65"/>
  <c r="E117" i="101"/>
  <c r="E28" i="102"/>
  <c r="E29" s="1"/>
  <c r="I84" i="101"/>
  <c r="K84" s="1"/>
  <c r="C69" i="102"/>
  <c r="F17" i="100"/>
  <c r="F11"/>
  <c r="H28"/>
  <c r="C17"/>
  <c r="C11"/>
  <c r="B17"/>
  <c r="D65"/>
  <c r="B2"/>
  <c r="E118" i="101" l="1"/>
  <c r="F66" i="102"/>
  <c r="B72" i="100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I28" s="1"/>
  <c r="E11"/>
  <c r="D3"/>
  <c r="I128" i="99"/>
  <c r="E124"/>
  <c r="E123"/>
  <c r="E122"/>
  <c r="I121"/>
  <c r="E121"/>
  <c r="E103"/>
  <c r="E120"/>
  <c r="E119"/>
  <c r="E118"/>
  <c r="E117"/>
  <c r="E116"/>
  <c r="E115"/>
  <c r="I113"/>
  <c r="E114"/>
  <c r="I112"/>
  <c r="E113"/>
  <c r="E112"/>
  <c r="E111"/>
  <c r="E110"/>
  <c r="E109"/>
  <c r="E108"/>
  <c r="I106"/>
  <c r="E107"/>
  <c r="I105"/>
  <c r="E106"/>
  <c r="E105"/>
  <c r="E104"/>
  <c r="E102"/>
  <c r="E101"/>
  <c r="E100"/>
  <c r="E99"/>
  <c r="I98"/>
  <c r="E98"/>
  <c r="I97"/>
  <c r="E97"/>
  <c r="E96"/>
  <c r="E95"/>
  <c r="E90"/>
  <c r="E94"/>
  <c r="I92"/>
  <c r="E93"/>
  <c r="I91"/>
  <c r="E92"/>
  <c r="I90"/>
  <c r="E91"/>
  <c r="I89"/>
  <c r="E89"/>
  <c r="I88"/>
  <c r="E88"/>
  <c r="E78"/>
  <c r="D78"/>
  <c r="E28" i="100" l="1"/>
  <c r="E29" s="1"/>
  <c r="I93" i="99"/>
  <c r="K93" s="1"/>
  <c r="E126"/>
  <c r="E127" s="1"/>
  <c r="C28" i="100"/>
  <c r="B7"/>
  <c r="B68" s="1"/>
  <c r="B69" s="1"/>
  <c r="C69" s="1"/>
  <c r="B17" i="98"/>
  <c r="C26"/>
  <c r="D25" l="1"/>
  <c r="E25" s="1"/>
  <c r="C16"/>
  <c r="E16" s="1"/>
  <c r="C17"/>
  <c r="E17" s="1"/>
  <c r="C11"/>
  <c r="E11" s="1"/>
  <c r="B5"/>
  <c r="B4"/>
  <c r="B3"/>
  <c r="D3" s="1"/>
  <c r="F11"/>
  <c r="F28" s="1"/>
  <c r="E26"/>
  <c r="B35"/>
  <c r="E27"/>
  <c r="E24"/>
  <c r="E23"/>
  <c r="E22"/>
  <c r="E21"/>
  <c r="E20"/>
  <c r="E19"/>
  <c r="E18"/>
  <c r="E15"/>
  <c r="E14"/>
  <c r="E13"/>
  <c r="E12"/>
  <c r="B28"/>
  <c r="D28" l="1"/>
  <c r="B7"/>
  <c r="B31" s="1"/>
  <c r="B32" s="1"/>
  <c r="E28"/>
  <c r="C28"/>
  <c r="F17" i="97"/>
  <c r="H28"/>
  <c r="F11"/>
  <c r="C26"/>
  <c r="C17"/>
  <c r="E17" s="1"/>
  <c r="C11"/>
  <c r="B17"/>
  <c r="B11"/>
  <c r="B28" s="1"/>
  <c r="B70"/>
  <c r="E66"/>
  <c r="D28"/>
  <c r="E27"/>
  <c r="E26"/>
  <c r="E25"/>
  <c r="E24"/>
  <c r="E23"/>
  <c r="E22"/>
  <c r="E21"/>
  <c r="E20"/>
  <c r="E19"/>
  <c r="E18"/>
  <c r="E16"/>
  <c r="E15"/>
  <c r="E14"/>
  <c r="E13"/>
  <c r="E12"/>
  <c r="E11"/>
  <c r="B7"/>
  <c r="B69" s="1"/>
  <c r="B73" s="1"/>
  <c r="I113" i="96"/>
  <c r="E109"/>
  <c r="E108"/>
  <c r="E107"/>
  <c r="I106"/>
  <c r="E106"/>
  <c r="E105"/>
  <c r="E104"/>
  <c r="E103"/>
  <c r="E102"/>
  <c r="E101"/>
  <c r="E100"/>
  <c r="E99"/>
  <c r="I98"/>
  <c r="E98"/>
  <c r="I97"/>
  <c r="E97"/>
  <c r="E96"/>
  <c r="E95"/>
  <c r="E94"/>
  <c r="E93"/>
  <c r="E92"/>
  <c r="I91"/>
  <c r="E91"/>
  <c r="I90"/>
  <c r="E90"/>
  <c r="E89"/>
  <c r="E88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C32" i="98" l="1"/>
  <c r="F28" i="97"/>
  <c r="J28" s="1"/>
  <c r="E28"/>
  <c r="E68" s="1"/>
  <c r="C70"/>
  <c r="E111" i="96"/>
  <c r="E112" s="1"/>
  <c r="I78"/>
  <c r="K78" s="1"/>
  <c r="C28" i="97"/>
  <c r="F17" i="95"/>
  <c r="F11"/>
  <c r="H28"/>
  <c r="C11"/>
  <c r="C17"/>
  <c r="C26"/>
  <c r="E66" l="1"/>
  <c r="E6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B7"/>
  <c r="B69" s="1"/>
  <c r="I108" i="94"/>
  <c r="E104"/>
  <c r="E103"/>
  <c r="E102"/>
  <c r="I101"/>
  <c r="E101"/>
  <c r="E100"/>
  <c r="E99"/>
  <c r="E98"/>
  <c r="E97"/>
  <c r="E96"/>
  <c r="E95"/>
  <c r="E94"/>
  <c r="I93"/>
  <c r="E93"/>
  <c r="I92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28" i="95" l="1"/>
  <c r="E106" i="94"/>
  <c r="E107" s="1"/>
  <c r="I73"/>
  <c r="K73" s="1"/>
  <c r="B70" i="95"/>
  <c r="B71" s="1"/>
  <c r="B73" s="1"/>
  <c r="F17" i="93"/>
  <c r="F28" s="1"/>
  <c r="F11"/>
  <c r="H28"/>
  <c r="C17"/>
  <c r="C11"/>
  <c r="B11"/>
  <c r="E66"/>
  <c r="E68" s="1"/>
  <c r="D28"/>
  <c r="E27"/>
  <c r="E26"/>
  <c r="E25"/>
  <c r="E24"/>
  <c r="E23"/>
  <c r="E22"/>
  <c r="E21"/>
  <c r="E20"/>
  <c r="E19"/>
  <c r="E18"/>
  <c r="B28"/>
  <c r="E16"/>
  <c r="E15"/>
  <c r="E14"/>
  <c r="E13"/>
  <c r="E12"/>
  <c r="B7"/>
  <c r="B69" s="1"/>
  <c r="I115" i="92"/>
  <c r="E111"/>
  <c r="E110"/>
  <c r="E109"/>
  <c r="I108"/>
  <c r="E108"/>
  <c r="E107"/>
  <c r="E106"/>
  <c r="E105"/>
  <c r="E104"/>
  <c r="E103"/>
  <c r="E102"/>
  <c r="E101"/>
  <c r="I100"/>
  <c r="E100"/>
  <c r="I99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J28" i="93" l="1"/>
  <c r="C28"/>
  <c r="E17"/>
  <c r="E11"/>
  <c r="B70"/>
  <c r="B71" s="1"/>
  <c r="B73" s="1"/>
  <c r="I80" i="92"/>
  <c r="E113"/>
  <c r="E114" s="1"/>
  <c r="K80"/>
  <c r="F17" i="91"/>
  <c r="F11"/>
  <c r="H28"/>
  <c r="C17"/>
  <c r="C11"/>
  <c r="B17"/>
  <c r="I90" i="74"/>
  <c r="E28" i="93" l="1"/>
  <c r="I97" i="78"/>
  <c r="I103" i="90"/>
  <c r="I93" i="88"/>
  <c r="I90" i="86"/>
  <c r="I86" i="84"/>
  <c r="I92" i="82"/>
  <c r="I99" i="80"/>
  <c r="E66" i="91"/>
  <c r="E68" s="1"/>
  <c r="D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C28"/>
  <c r="B7"/>
  <c r="B69" s="1"/>
  <c r="I119" i="90"/>
  <c r="E115"/>
  <c r="E114"/>
  <c r="E113"/>
  <c r="I112"/>
  <c r="E112"/>
  <c r="E111"/>
  <c r="E110"/>
  <c r="E109"/>
  <c r="E108"/>
  <c r="E107"/>
  <c r="E106"/>
  <c r="E105"/>
  <c r="I104"/>
  <c r="E104"/>
  <c r="E103"/>
  <c r="E102"/>
  <c r="E101"/>
  <c r="E100"/>
  <c r="E99"/>
  <c r="E98"/>
  <c r="I97"/>
  <c r="E97"/>
  <c r="I96"/>
  <c r="E96"/>
  <c r="E95"/>
  <c r="E94"/>
  <c r="E93"/>
  <c r="E92"/>
  <c r="E91"/>
  <c r="E90"/>
  <c r="I89"/>
  <c r="E89"/>
  <c r="I88"/>
  <c r="E88"/>
  <c r="E87"/>
  <c r="E86"/>
  <c r="E85"/>
  <c r="E84"/>
  <c r="I83"/>
  <c r="E83"/>
  <c r="I82"/>
  <c r="E82"/>
  <c r="I81"/>
  <c r="E81"/>
  <c r="I80"/>
  <c r="E80"/>
  <c r="I79"/>
  <c r="E79"/>
  <c r="E69"/>
  <c r="D69"/>
  <c r="E28" i="91" l="1"/>
  <c r="I84" i="90"/>
  <c r="K84" s="1"/>
  <c r="E117"/>
  <c r="E118" s="1"/>
  <c r="B70" i="91"/>
  <c r="B71" s="1"/>
  <c r="B73" s="1"/>
  <c r="F17" i="89"/>
  <c r="H28"/>
  <c r="F11"/>
  <c r="C17"/>
  <c r="E17" s="1"/>
  <c r="C11"/>
  <c r="E11" s="1"/>
  <c r="E27"/>
  <c r="E26"/>
  <c r="E25"/>
  <c r="E24"/>
  <c r="E23"/>
  <c r="E22"/>
  <c r="E21"/>
  <c r="E20"/>
  <c r="E19"/>
  <c r="E18"/>
  <c r="E16"/>
  <c r="E15"/>
  <c r="E14"/>
  <c r="E13"/>
  <c r="E12"/>
  <c r="B17"/>
  <c r="B11"/>
  <c r="E66" l="1"/>
  <c r="E68" s="1"/>
  <c r="D28"/>
  <c r="C28"/>
  <c r="B28"/>
  <c r="F28"/>
  <c r="J28" s="1"/>
  <c r="B7"/>
  <c r="B69" s="1"/>
  <c r="I109" i="88"/>
  <c r="E105"/>
  <c r="E104"/>
  <c r="E103"/>
  <c r="I102"/>
  <c r="E102"/>
  <c r="E101"/>
  <c r="E100"/>
  <c r="E99"/>
  <c r="E98"/>
  <c r="E97"/>
  <c r="E96"/>
  <c r="E95"/>
  <c r="I94"/>
  <c r="E94"/>
  <c r="E93"/>
  <c r="E92"/>
  <c r="E91"/>
  <c r="E90"/>
  <c r="E89"/>
  <c r="E88"/>
  <c r="I87"/>
  <c r="E87"/>
  <c r="I86"/>
  <c r="E86"/>
  <c r="E85"/>
  <c r="E84"/>
  <c r="E83"/>
  <c r="E82"/>
  <c r="E81"/>
  <c r="E80"/>
  <c r="I79"/>
  <c r="E79"/>
  <c r="I78"/>
  <c r="E78"/>
  <c r="E77"/>
  <c r="E76"/>
  <c r="E75"/>
  <c r="E74"/>
  <c r="I73"/>
  <c r="E73"/>
  <c r="I72"/>
  <c r="E72"/>
  <c r="I71"/>
  <c r="E71"/>
  <c r="I70"/>
  <c r="E70"/>
  <c r="I69"/>
  <c r="E69"/>
  <c r="E59"/>
  <c r="D59"/>
  <c r="E107" l="1"/>
  <c r="E108" s="1"/>
  <c r="I74"/>
  <c r="K74" s="1"/>
  <c r="E28" i="89"/>
  <c r="B71"/>
  <c r="B73" s="1"/>
  <c r="B70"/>
  <c r="F17" i="87"/>
  <c r="F11"/>
  <c r="C17"/>
  <c r="C11"/>
  <c r="E11" s="1"/>
  <c r="E27"/>
  <c r="E26"/>
  <c r="E25"/>
  <c r="E24"/>
  <c r="E23"/>
  <c r="E22"/>
  <c r="E21"/>
  <c r="E20"/>
  <c r="E19"/>
  <c r="E18"/>
  <c r="E17"/>
  <c r="E16"/>
  <c r="E15"/>
  <c r="E14"/>
  <c r="E13"/>
  <c r="E12"/>
  <c r="E66"/>
  <c r="E68" s="1"/>
  <c r="H28"/>
  <c r="D28"/>
  <c r="B28"/>
  <c r="B7"/>
  <c r="B69" s="1"/>
  <c r="F28" l="1"/>
  <c r="J28" s="1"/>
  <c r="C28"/>
  <c r="E28"/>
  <c r="B70"/>
  <c r="B71" s="1"/>
  <c r="B73" s="1"/>
  <c r="I106" i="86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H28" i="85"/>
  <c r="F17"/>
  <c r="F11"/>
  <c r="C11"/>
  <c r="C17"/>
  <c r="E68"/>
  <c r="B17"/>
  <c r="B11"/>
  <c r="E66" l="1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J28" s="1"/>
  <c r="E11"/>
  <c r="B7"/>
  <c r="B69" s="1"/>
  <c r="I102" i="84"/>
  <c r="E98"/>
  <c r="E97"/>
  <c r="E96"/>
  <c r="I95"/>
  <c r="E95"/>
  <c r="E94"/>
  <c r="E93"/>
  <c r="E92"/>
  <c r="E91"/>
  <c r="E90"/>
  <c r="E89"/>
  <c r="E88"/>
  <c r="I87"/>
  <c r="E87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28" i="85" l="1"/>
  <c r="C28"/>
  <c r="B70"/>
  <c r="B71" s="1"/>
  <c r="B73" s="1"/>
  <c r="E100" i="84"/>
  <c r="E101" s="1"/>
  <c r="I67"/>
  <c r="K67" s="1"/>
  <c r="F11" i="83"/>
  <c r="H28"/>
  <c r="F17"/>
  <c r="C11"/>
  <c r="E11" s="1"/>
  <c r="C17"/>
  <c r="E17" s="1"/>
  <c r="E64"/>
  <c r="B17"/>
  <c r="B28" s="1"/>
  <c r="D28"/>
  <c r="E27"/>
  <c r="E26"/>
  <c r="E25"/>
  <c r="E24"/>
  <c r="E23"/>
  <c r="E22"/>
  <c r="E21"/>
  <c r="E20"/>
  <c r="E19"/>
  <c r="E18"/>
  <c r="E16"/>
  <c r="E15"/>
  <c r="E14"/>
  <c r="E13"/>
  <c r="E12"/>
  <c r="B7"/>
  <c r="B67" s="1"/>
  <c r="F28" l="1"/>
  <c r="J28" s="1"/>
  <c r="E28"/>
  <c r="E66"/>
  <c r="C28"/>
  <c r="B68"/>
  <c r="B69" s="1"/>
  <c r="B71" s="1"/>
  <c r="I108" i="82"/>
  <c r="E104"/>
  <c r="E103"/>
  <c r="E102"/>
  <c r="I101"/>
  <c r="E101"/>
  <c r="E100"/>
  <c r="E99"/>
  <c r="E98"/>
  <c r="E97"/>
  <c r="E96"/>
  <c r="E95"/>
  <c r="E94"/>
  <c r="I93"/>
  <c r="E93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H28" i="81"/>
  <c r="F17"/>
  <c r="F11"/>
  <c r="C17"/>
  <c r="E17" s="1"/>
  <c r="C11"/>
  <c r="E11" s="1"/>
  <c r="B11"/>
  <c r="B28"/>
  <c r="E64"/>
  <c r="D28"/>
  <c r="E27"/>
  <c r="E26"/>
  <c r="E25"/>
  <c r="E24"/>
  <c r="E23"/>
  <c r="E22"/>
  <c r="E21"/>
  <c r="E20"/>
  <c r="E19"/>
  <c r="E18"/>
  <c r="E16"/>
  <c r="E15"/>
  <c r="E14"/>
  <c r="E13"/>
  <c r="E12"/>
  <c r="B7"/>
  <c r="E7" s="1"/>
  <c r="F28" l="1"/>
  <c r="J28" s="1"/>
  <c r="E28"/>
  <c r="E66"/>
  <c r="C28"/>
  <c r="B67"/>
  <c r="B68"/>
  <c r="I115" i="80"/>
  <c r="E111"/>
  <c r="E110"/>
  <c r="E109"/>
  <c r="I108"/>
  <c r="E108"/>
  <c r="E107"/>
  <c r="E106"/>
  <c r="E105"/>
  <c r="E104"/>
  <c r="E103"/>
  <c r="E102"/>
  <c r="E101"/>
  <c r="I100"/>
  <c r="E100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B69" i="81" l="1"/>
  <c r="B71" s="1"/>
  <c r="E113" i="80"/>
  <c r="E114" s="1"/>
  <c r="I80"/>
  <c r="K80" s="1"/>
  <c r="F17" i="79"/>
  <c r="F11"/>
  <c r="B67"/>
  <c r="H28"/>
  <c r="C17"/>
  <c r="C11"/>
  <c r="E64" l="1"/>
  <c r="B68" s="1"/>
  <c r="F28"/>
  <c r="J2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E11"/>
  <c r="B7"/>
  <c r="E7" s="1"/>
  <c r="E66" s="1"/>
  <c r="I113" i="78"/>
  <c r="E109"/>
  <c r="E108"/>
  <c r="E107"/>
  <c r="I106"/>
  <c r="E106"/>
  <c r="E105"/>
  <c r="E89"/>
  <c r="E104"/>
  <c r="E102"/>
  <c r="E101"/>
  <c r="E100"/>
  <c r="E99"/>
  <c r="I98"/>
  <c r="E98"/>
  <c r="E97"/>
  <c r="E96"/>
  <c r="E95"/>
  <c r="E94"/>
  <c r="E93"/>
  <c r="E92"/>
  <c r="I91"/>
  <c r="E91"/>
  <c r="I90"/>
  <c r="E90"/>
  <c r="E88"/>
  <c r="E103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B69" i="79" l="1"/>
  <c r="B71" s="1"/>
  <c r="E28"/>
  <c r="E111" i="78"/>
  <c r="E112" s="1"/>
  <c r="I78"/>
  <c r="K78" s="1"/>
  <c r="J28" i="77"/>
  <c r="F17"/>
  <c r="F11"/>
  <c r="H28"/>
  <c r="C11" i="75" l="1"/>
  <c r="E11" s="1"/>
  <c r="C11" i="77"/>
  <c r="C17"/>
  <c r="E11"/>
  <c r="E7"/>
  <c r="E12"/>
  <c r="E13"/>
  <c r="E14"/>
  <c r="E15"/>
  <c r="E16"/>
  <c r="E17"/>
  <c r="E18"/>
  <c r="E19"/>
  <c r="E20"/>
  <c r="E21"/>
  <c r="E22"/>
  <c r="E23"/>
  <c r="E24"/>
  <c r="E25"/>
  <c r="E26"/>
  <c r="E64"/>
  <c r="B68" s="1"/>
  <c r="F28"/>
  <c r="D28"/>
  <c r="B28"/>
  <c r="E27"/>
  <c r="C28"/>
  <c r="B7"/>
  <c r="F17" i="75"/>
  <c r="F11"/>
  <c r="H28"/>
  <c r="E26"/>
  <c r="E25"/>
  <c r="E24"/>
  <c r="E23"/>
  <c r="E22"/>
  <c r="E21"/>
  <c r="E20"/>
  <c r="E19"/>
  <c r="E18"/>
  <c r="E17"/>
  <c r="E16"/>
  <c r="E15"/>
  <c r="E14"/>
  <c r="E13"/>
  <c r="E12"/>
  <c r="C17"/>
  <c r="E65"/>
  <c r="I89" i="76"/>
  <c r="I105"/>
  <c r="E101"/>
  <c r="E100"/>
  <c r="E99"/>
  <c r="I98"/>
  <c r="E98"/>
  <c r="E97"/>
  <c r="E96"/>
  <c r="E95"/>
  <c r="E94"/>
  <c r="E93"/>
  <c r="E92"/>
  <c r="E91"/>
  <c r="I90"/>
  <c r="E90"/>
  <c r="E89"/>
  <c r="E88"/>
  <c r="E87"/>
  <c r="E86"/>
  <c r="E85"/>
  <c r="E84"/>
  <c r="I83"/>
  <c r="E83"/>
  <c r="I82"/>
  <c r="E82"/>
  <c r="E80"/>
  <c r="E81"/>
  <c r="E79"/>
  <c r="E78"/>
  <c r="E77"/>
  <c r="E76"/>
  <c r="I75"/>
  <c r="E75"/>
  <c r="I74"/>
  <c r="E74"/>
  <c r="E73"/>
  <c r="E72"/>
  <c r="E71"/>
  <c r="E70"/>
  <c r="I69"/>
  <c r="E69"/>
  <c r="I68"/>
  <c r="E68"/>
  <c r="I67"/>
  <c r="E67"/>
  <c r="I66"/>
  <c r="E66"/>
  <c r="I65"/>
  <c r="E65"/>
  <c r="E55"/>
  <c r="D55"/>
  <c r="E28" i="77" l="1"/>
  <c r="B67"/>
  <c r="B69" s="1"/>
  <c r="B71" s="1"/>
  <c r="I70" i="76"/>
  <c r="K70" s="1"/>
  <c r="E103"/>
  <c r="E104" s="1"/>
  <c r="B69" i="75"/>
  <c r="D28"/>
  <c r="B28"/>
  <c r="E27"/>
  <c r="B7"/>
  <c r="F28" l="1"/>
  <c r="C28"/>
  <c r="E28"/>
  <c r="E30" s="1"/>
  <c r="B68"/>
  <c r="B70" s="1"/>
  <c r="B72" s="1"/>
  <c r="I106" i="74" l="1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F32" i="73"/>
  <c r="F31"/>
  <c r="F23"/>
  <c r="F17"/>
  <c r="D32"/>
  <c r="D31"/>
  <c r="D23"/>
  <c r="D17"/>
  <c r="E31"/>
  <c r="E32"/>
  <c r="L44"/>
  <c r="J44"/>
  <c r="B32"/>
  <c r="B17"/>
  <c r="B3"/>
  <c r="B2"/>
  <c r="B8" s="1"/>
  <c r="L24"/>
  <c r="L22"/>
  <c r="L21"/>
  <c r="N19"/>
  <c r="L19"/>
  <c r="E64"/>
  <c r="B68" s="1"/>
  <c r="F34" l="1"/>
  <c r="I34" s="1"/>
  <c r="D34"/>
  <c r="E23"/>
  <c r="C34"/>
  <c r="E17"/>
  <c r="B34"/>
  <c r="B67"/>
  <c r="B69" s="1"/>
  <c r="B71" s="1"/>
  <c r="F17" i="72"/>
  <c r="F23"/>
  <c r="C23"/>
  <c r="C17"/>
  <c r="E17" s="1"/>
  <c r="C32"/>
  <c r="D34"/>
  <c r="E70"/>
  <c r="B74" s="1"/>
  <c r="B34"/>
  <c r="E18"/>
  <c r="E19"/>
  <c r="E20"/>
  <c r="E21"/>
  <c r="E22"/>
  <c r="E24"/>
  <c r="E25"/>
  <c r="E26"/>
  <c r="E27"/>
  <c r="E28"/>
  <c r="E29"/>
  <c r="E30"/>
  <c r="E31"/>
  <c r="E32"/>
  <c r="E33"/>
  <c r="M19"/>
  <c r="F34"/>
  <c r="I34" s="1"/>
  <c r="I5"/>
  <c r="B8" s="1"/>
  <c r="E34" i="73" l="1"/>
  <c r="E36" s="1"/>
  <c r="C34" i="72"/>
  <c r="E23"/>
  <c r="E34" s="1"/>
  <c r="E36" s="1"/>
  <c r="D8"/>
  <c r="B73"/>
  <c r="B75" s="1"/>
  <c r="B77" s="1"/>
  <c r="I108" i="71" l="1"/>
  <c r="E104"/>
  <c r="E103"/>
  <c r="E102"/>
  <c r="I101"/>
  <c r="E101"/>
  <c r="E100"/>
  <c r="E99"/>
  <c r="E74"/>
  <c r="E98"/>
  <c r="E97"/>
  <c r="E96"/>
  <c r="E95"/>
  <c r="I93"/>
  <c r="E94"/>
  <c r="I92"/>
  <c r="E93"/>
  <c r="E92"/>
  <c r="E91"/>
  <c r="E90"/>
  <c r="E89"/>
  <c r="E88"/>
  <c r="I86"/>
  <c r="E87"/>
  <c r="I85"/>
  <c r="E86"/>
  <c r="I84"/>
  <c r="E85"/>
  <c r="E83"/>
  <c r="E84"/>
  <c r="E82"/>
  <c r="E81"/>
  <c r="E80"/>
  <c r="I78"/>
  <c r="E79"/>
  <c r="I77"/>
  <c r="E78"/>
  <c r="E77"/>
  <c r="E76"/>
  <c r="E75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I88"/>
  <c r="M19" i="70"/>
  <c r="F23"/>
  <c r="F34" s="1"/>
  <c r="I34" s="1"/>
  <c r="F17"/>
  <c r="E70"/>
  <c r="E33"/>
  <c r="E32"/>
  <c r="E31"/>
  <c r="E30"/>
  <c r="E29"/>
  <c r="E28"/>
  <c r="E27"/>
  <c r="E26"/>
  <c r="E25"/>
  <c r="E24"/>
  <c r="E23"/>
  <c r="E22"/>
  <c r="E21"/>
  <c r="E20"/>
  <c r="E19"/>
  <c r="E18"/>
  <c r="E17"/>
  <c r="B36"/>
  <c r="B17"/>
  <c r="B34" s="1"/>
  <c r="B3"/>
  <c r="B8"/>
  <c r="D8" s="1"/>
  <c r="I5"/>
  <c r="D34"/>
  <c r="C34"/>
  <c r="F23" i="69"/>
  <c r="F32"/>
  <c r="F17"/>
  <c r="B31"/>
  <c r="B34" s="1"/>
  <c r="B36" s="1"/>
  <c r="I74" i="113" l="1"/>
  <c r="I78" s="1"/>
  <c r="I83" i="109"/>
  <c r="I87" s="1"/>
  <c r="I41" i="111"/>
  <c r="I45" s="1"/>
  <c r="I80" i="107"/>
  <c r="I84" s="1"/>
  <c r="I80" i="105"/>
  <c r="I84" s="1"/>
  <c r="I88" i="103"/>
  <c r="I92" s="1"/>
  <c r="I95" i="101"/>
  <c r="I99" s="1"/>
  <c r="I104" i="99"/>
  <c r="I108" s="1"/>
  <c r="I89" i="96"/>
  <c r="I93" s="1"/>
  <c r="I84" i="94"/>
  <c r="I88" s="1"/>
  <c r="I91" i="92"/>
  <c r="I95" s="1"/>
  <c r="I95" i="90"/>
  <c r="I99" s="1"/>
  <c r="I85" i="88"/>
  <c r="I89" s="1"/>
  <c r="I82" i="86"/>
  <c r="I86" s="1"/>
  <c r="I78" i="84"/>
  <c r="I82" s="1"/>
  <c r="I84" i="82"/>
  <c r="I88" s="1"/>
  <c r="I91" i="80"/>
  <c r="I95" s="1"/>
  <c r="I89" i="78"/>
  <c r="I93" s="1"/>
  <c r="I81" i="76"/>
  <c r="I85" s="1"/>
  <c r="I82" i="74"/>
  <c r="I86" s="1"/>
  <c r="E34" i="70"/>
  <c r="E36" s="1"/>
  <c r="B73"/>
  <c r="B74"/>
  <c r="C23" i="69"/>
  <c r="E70"/>
  <c r="B73"/>
  <c r="I67" i="67"/>
  <c r="B17" i="69"/>
  <c r="B75" i="70" l="1"/>
  <c r="B77" s="1"/>
  <c r="D8" i="69"/>
  <c r="B74" l="1"/>
  <c r="F34"/>
  <c r="I34" s="1"/>
  <c r="D34"/>
  <c r="C34"/>
  <c r="E72" s="1"/>
  <c r="E32"/>
  <c r="E31"/>
  <c r="E23"/>
  <c r="E17"/>
  <c r="B8"/>
  <c r="E34" l="1"/>
  <c r="E36"/>
  <c r="B75"/>
  <c r="B77" s="1"/>
  <c r="I102" i="68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I78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100" l="1"/>
  <c r="E101" s="1"/>
  <c r="I82"/>
  <c r="I67"/>
  <c r="K67" s="1"/>
  <c r="I76" i="67"/>
  <c r="I98" l="1"/>
  <c r="I105"/>
  <c r="E101"/>
  <c r="E100"/>
  <c r="E99"/>
  <c r="E98"/>
  <c r="E97"/>
  <c r="E96"/>
  <c r="E95"/>
  <c r="E86"/>
  <c r="E71"/>
  <c r="E77"/>
  <c r="E88"/>
  <c r="I90"/>
  <c r="E94"/>
  <c r="I89"/>
  <c r="E93"/>
  <c r="E92"/>
  <c r="E91"/>
  <c r="E90"/>
  <c r="E89"/>
  <c r="E87"/>
  <c r="I83"/>
  <c r="E85"/>
  <c r="I82"/>
  <c r="E84"/>
  <c r="I81"/>
  <c r="E83"/>
  <c r="E82"/>
  <c r="E81"/>
  <c r="E80"/>
  <c r="E79"/>
  <c r="E78"/>
  <c r="I75"/>
  <c r="E76"/>
  <c r="I74"/>
  <c r="E75"/>
  <c r="E74"/>
  <c r="E73"/>
  <c r="E72"/>
  <c r="E70"/>
  <c r="I69"/>
  <c r="E69"/>
  <c r="I68"/>
  <c r="E68"/>
  <c r="E67"/>
  <c r="I66"/>
  <c r="E66"/>
  <c r="I65"/>
  <c r="E65"/>
  <c r="E55"/>
  <c r="D55"/>
  <c r="I85" l="1"/>
  <c r="I70"/>
  <c r="K70" s="1"/>
  <c r="E103"/>
  <c r="E104" s="1"/>
  <c r="F23" i="66"/>
  <c r="F17"/>
  <c r="B68"/>
  <c r="E64"/>
  <c r="E32"/>
  <c r="E31"/>
  <c r="E23"/>
  <c r="E17"/>
  <c r="B17"/>
  <c r="B34" s="1"/>
  <c r="D34"/>
  <c r="C34"/>
  <c r="B8"/>
  <c r="B67" s="1"/>
  <c r="I99" i="65"/>
  <c r="E95"/>
  <c r="E94"/>
  <c r="E93"/>
  <c r="I92"/>
  <c r="E92"/>
  <c r="E91"/>
  <c r="E90"/>
  <c r="E89"/>
  <c r="E88"/>
  <c r="E87"/>
  <c r="E86"/>
  <c r="E85"/>
  <c r="I84"/>
  <c r="E59"/>
  <c r="I83"/>
  <c r="E71"/>
  <c r="E84"/>
  <c r="E83"/>
  <c r="E82"/>
  <c r="E81"/>
  <c r="E80"/>
  <c r="I77"/>
  <c r="E79"/>
  <c r="I76"/>
  <c r="E78"/>
  <c r="I75"/>
  <c r="E77"/>
  <c r="E76"/>
  <c r="E75"/>
  <c r="E74"/>
  <c r="E73"/>
  <c r="E72"/>
  <c r="I69"/>
  <c r="E70"/>
  <c r="I68"/>
  <c r="E69"/>
  <c r="E68"/>
  <c r="E67"/>
  <c r="E66"/>
  <c r="E65"/>
  <c r="I63"/>
  <c r="E63"/>
  <c r="I62"/>
  <c r="E64"/>
  <c r="I61"/>
  <c r="E62"/>
  <c r="I60"/>
  <c r="E61"/>
  <c r="I59"/>
  <c r="E60"/>
  <c r="E49"/>
  <c r="D49"/>
  <c r="F34" i="66" l="1"/>
  <c r="I34" s="1"/>
  <c r="B69"/>
  <c r="B71" s="1"/>
  <c r="E34"/>
  <c r="E36" s="1"/>
  <c r="I79" i="65"/>
  <c r="E97"/>
  <c r="E98" s="1"/>
  <c r="I64"/>
  <c r="K64" s="1"/>
  <c r="F22" i="63"/>
  <c r="F28"/>
  <c r="H31"/>
  <c r="H29"/>
  <c r="F24" i="64"/>
  <c r="F17"/>
  <c r="E36"/>
  <c r="C32"/>
  <c r="C24"/>
  <c r="C34" s="1"/>
  <c r="C17"/>
  <c r="B17"/>
  <c r="E17"/>
  <c r="E24"/>
  <c r="G47"/>
  <c r="B8"/>
  <c r="D34"/>
  <c r="B34"/>
  <c r="I95" i="62"/>
  <c r="I85" i="61"/>
  <c r="I77" i="59"/>
  <c r="E34" i="64" l="1"/>
  <c r="F34"/>
  <c r="I34" s="1"/>
  <c r="Q26" i="63"/>
  <c r="Q24"/>
  <c r="E28"/>
  <c r="K32"/>
  <c r="K31"/>
  <c r="K23"/>
  <c r="E68" l="1"/>
  <c r="E22"/>
  <c r="B36"/>
  <c r="B22"/>
  <c r="C39" l="1"/>
  <c r="B39"/>
  <c r="H13" l="1"/>
  <c r="Q45" i="60"/>
  <c r="S40"/>
  <c r="T6" i="63"/>
  <c r="S6"/>
  <c r="I4"/>
  <c r="O61" i="60"/>
  <c r="O9" i="63"/>
  <c r="F15"/>
  <c r="F12"/>
  <c r="E107" i="62" l="1"/>
  <c r="E106"/>
  <c r="E105"/>
  <c r="I104"/>
  <c r="E104"/>
  <c r="E103"/>
  <c r="E102"/>
  <c r="E101"/>
  <c r="E100"/>
  <c r="E99"/>
  <c r="E98"/>
  <c r="E97"/>
  <c r="I96"/>
  <c r="E96"/>
  <c r="E95"/>
  <c r="E94"/>
  <c r="E93"/>
  <c r="E92"/>
  <c r="E91"/>
  <c r="E90"/>
  <c r="I89"/>
  <c r="E89"/>
  <c r="I88"/>
  <c r="E88"/>
  <c r="I87"/>
  <c r="E87"/>
  <c r="E86"/>
  <c r="E85"/>
  <c r="E84"/>
  <c r="E83"/>
  <c r="E82"/>
  <c r="I81"/>
  <c r="E81"/>
  <c r="I80"/>
  <c r="E80"/>
  <c r="E79"/>
  <c r="E78"/>
  <c r="E77"/>
  <c r="E76"/>
  <c r="I75"/>
  <c r="E75"/>
  <c r="I74"/>
  <c r="E74"/>
  <c r="I73"/>
  <c r="E73"/>
  <c r="I72"/>
  <c r="E72"/>
  <c r="I71"/>
  <c r="E71"/>
  <c r="E61"/>
  <c r="D61"/>
  <c r="E97" i="61"/>
  <c r="E96"/>
  <c r="E95"/>
  <c r="I94"/>
  <c r="E94"/>
  <c r="E93"/>
  <c r="E92"/>
  <c r="E91"/>
  <c r="E90"/>
  <c r="E89"/>
  <c r="E88"/>
  <c r="E87"/>
  <c r="I86"/>
  <c r="E86"/>
  <c r="E85"/>
  <c r="E68"/>
  <c r="E71"/>
  <c r="E84"/>
  <c r="E83"/>
  <c r="E82"/>
  <c r="I79"/>
  <c r="E81"/>
  <c r="I78"/>
  <c r="E80"/>
  <c r="E79"/>
  <c r="E78"/>
  <c r="E74"/>
  <c r="E77"/>
  <c r="E76"/>
  <c r="E75"/>
  <c r="I71"/>
  <c r="E73"/>
  <c r="I70"/>
  <c r="E72"/>
  <c r="E70"/>
  <c r="E69"/>
  <c r="E67"/>
  <c r="E66"/>
  <c r="I65"/>
  <c r="E65"/>
  <c r="I64"/>
  <c r="E64"/>
  <c r="I63"/>
  <c r="E63"/>
  <c r="I62"/>
  <c r="E62"/>
  <c r="I61"/>
  <c r="E61"/>
  <c r="E51"/>
  <c r="D51"/>
  <c r="E109" i="62" l="1"/>
  <c r="E111" s="1"/>
  <c r="I76"/>
  <c r="K76" s="1"/>
  <c r="I91"/>
  <c r="E99" i="61"/>
  <c r="E101" s="1"/>
  <c r="I66"/>
  <c r="K66" s="1"/>
  <c r="F7" i="60"/>
  <c r="F13"/>
  <c r="F25"/>
  <c r="F29"/>
  <c r="F33"/>
  <c r="F42"/>
  <c r="F46"/>
  <c r="P50"/>
  <c r="L60"/>
  <c r="P60" s="1"/>
  <c r="N60"/>
  <c r="O60"/>
  <c r="F61"/>
  <c r="L61"/>
  <c r="N61"/>
  <c r="L74"/>
  <c r="N74"/>
  <c r="R74" s="1"/>
  <c r="P74"/>
  <c r="L75"/>
  <c r="O75"/>
  <c r="P75"/>
  <c r="R75"/>
  <c r="F76"/>
  <c r="L77"/>
  <c r="N81" s="1"/>
  <c r="M77"/>
  <c r="F80"/>
  <c r="L82"/>
  <c r="L86" s="1"/>
  <c r="N84"/>
  <c r="S86"/>
  <c r="E94"/>
  <c r="O94"/>
  <c r="M98" s="1"/>
  <c r="O107"/>
  <c r="R50" l="1"/>
  <c r="R61"/>
  <c r="P61"/>
  <c r="P77" s="1"/>
  <c r="N77"/>
  <c r="R77" s="1"/>
  <c r="O77"/>
  <c r="O81" s="1"/>
  <c r="P52"/>
  <c r="R60"/>
  <c r="I86" i="59"/>
  <c r="I69"/>
  <c r="I92" i="58"/>
  <c r="I109" i="57"/>
  <c r="E89" i="59"/>
  <c r="E88"/>
  <c r="E87"/>
  <c r="E86"/>
  <c r="E85"/>
  <c r="E84"/>
  <c r="E83"/>
  <c r="E82"/>
  <c r="E81"/>
  <c r="E80"/>
  <c r="E79"/>
  <c r="I78"/>
  <c r="E78"/>
  <c r="E77"/>
  <c r="E76"/>
  <c r="E75"/>
  <c r="E74"/>
  <c r="E73"/>
  <c r="E72"/>
  <c r="I71"/>
  <c r="E71"/>
  <c r="I70"/>
  <c r="E70"/>
  <c r="E69"/>
  <c r="E68"/>
  <c r="E67"/>
  <c r="E66"/>
  <c r="E65"/>
  <c r="E64"/>
  <c r="I63"/>
  <c r="E63"/>
  <c r="I62"/>
  <c r="E62"/>
  <c r="E61"/>
  <c r="E60"/>
  <c r="E59"/>
  <c r="E58"/>
  <c r="I57"/>
  <c r="E57"/>
  <c r="I56"/>
  <c r="E56"/>
  <c r="I55"/>
  <c r="E55"/>
  <c r="I54"/>
  <c r="E54"/>
  <c r="I53"/>
  <c r="E53"/>
  <c r="E43"/>
  <c r="D43"/>
  <c r="E95" i="58"/>
  <c r="E94"/>
  <c r="E93"/>
  <c r="E92"/>
  <c r="E91"/>
  <c r="E90"/>
  <c r="E89"/>
  <c r="E88"/>
  <c r="E87"/>
  <c r="E86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E112" i="57"/>
  <c r="E111"/>
  <c r="E110"/>
  <c r="E109"/>
  <c r="E108"/>
  <c r="E107"/>
  <c r="E106"/>
  <c r="E105"/>
  <c r="E104"/>
  <c r="E103"/>
  <c r="E102"/>
  <c r="I101"/>
  <c r="E101"/>
  <c r="E100"/>
  <c r="E99"/>
  <c r="E79"/>
  <c r="E78"/>
  <c r="E95"/>
  <c r="E77"/>
  <c r="I94"/>
  <c r="E89"/>
  <c r="I93"/>
  <c r="E97"/>
  <c r="E96"/>
  <c r="E94"/>
  <c r="E93"/>
  <c r="E92"/>
  <c r="E91"/>
  <c r="E90"/>
  <c r="I86"/>
  <c r="E88"/>
  <c r="I85"/>
  <c r="E87"/>
  <c r="E86"/>
  <c r="E85"/>
  <c r="E84"/>
  <c r="I80"/>
  <c r="E83"/>
  <c r="I79"/>
  <c r="E82"/>
  <c r="I78"/>
  <c r="E81"/>
  <c r="I77"/>
  <c r="E80"/>
  <c r="I76"/>
  <c r="E76"/>
  <c r="E66"/>
  <c r="D66"/>
  <c r="I58" i="59" l="1"/>
  <c r="K58" s="1"/>
  <c r="E91"/>
  <c r="E93" s="1"/>
  <c r="I96" i="57"/>
  <c r="E114"/>
  <c r="E116" s="1"/>
  <c r="I81"/>
  <c r="K81" s="1"/>
  <c r="E97" i="58"/>
  <c r="E99" s="1"/>
  <c r="I64"/>
  <c r="K64" s="1"/>
  <c r="I79"/>
  <c r="I73" i="59"/>
  <c r="I77" i="61" s="1"/>
  <c r="I81" s="1"/>
  <c r="E112" i="56"/>
  <c r="E134"/>
  <c r="E133"/>
  <c r="E132"/>
  <c r="I131"/>
  <c r="E131"/>
  <c r="E130"/>
  <c r="E129"/>
  <c r="E128"/>
  <c r="E127"/>
  <c r="E126"/>
  <c r="E125"/>
  <c r="E124"/>
  <c r="I123"/>
  <c r="E123"/>
  <c r="E122"/>
  <c r="E121"/>
  <c r="E120"/>
  <c r="E119"/>
  <c r="E118"/>
  <c r="E117"/>
  <c r="I116"/>
  <c r="E116"/>
  <c r="I115"/>
  <c r="E105"/>
  <c r="E107"/>
  <c r="E115"/>
  <c r="E114"/>
  <c r="E113"/>
  <c r="E111"/>
  <c r="I108"/>
  <c r="E110"/>
  <c r="I107"/>
  <c r="E109"/>
  <c r="E108"/>
  <c r="E106"/>
  <c r="E104"/>
  <c r="E103"/>
  <c r="I102"/>
  <c r="E102"/>
  <c r="I101"/>
  <c r="E101"/>
  <c r="I100"/>
  <c r="E100"/>
  <c r="I99"/>
  <c r="E99"/>
  <c r="I98"/>
  <c r="E98"/>
  <c r="E88"/>
  <c r="D88"/>
  <c r="I118" l="1"/>
  <c r="E136"/>
  <c r="E138" s="1"/>
  <c r="I103"/>
  <c r="K103" s="1"/>
  <c r="I152" i="54"/>
  <c r="I123"/>
  <c r="I121" i="53"/>
  <c r="T42" i="55" l="1"/>
  <c r="T41"/>
  <c r="T40"/>
  <c r="T39"/>
  <c r="T38"/>
  <c r="T37"/>
  <c r="T36"/>
  <c r="T35"/>
  <c r="T34"/>
  <c r="T33"/>
  <c r="T32"/>
  <c r="T31"/>
  <c r="T30"/>
  <c r="T29"/>
  <c r="T28"/>
  <c r="T27"/>
  <c r="T26"/>
  <c r="O17"/>
  <c r="E23"/>
  <c r="I29"/>
  <c r="E29"/>
  <c r="I156" i="54" l="1"/>
  <c r="I135" i="56" s="1"/>
  <c r="I139" s="1"/>
  <c r="I113" i="57" s="1"/>
  <c r="I117" s="1"/>
  <c r="I96" i="58" s="1"/>
  <c r="I100" s="1"/>
  <c r="I90" i="59" s="1"/>
  <c r="I94" s="1"/>
  <c r="I98" i="61" s="1"/>
  <c r="I102" s="1"/>
  <c r="I108" i="62" s="1"/>
  <c r="I112" s="1"/>
  <c r="I129" i="53"/>
  <c r="E116" i="54" l="1"/>
  <c r="E151" l="1"/>
  <c r="E150"/>
  <c r="E149"/>
  <c r="I148"/>
  <c r="E148"/>
  <c r="E147"/>
  <c r="E146"/>
  <c r="E145"/>
  <c r="E144"/>
  <c r="E143"/>
  <c r="E142"/>
  <c r="E141"/>
  <c r="I140"/>
  <c r="E140"/>
  <c r="E139"/>
  <c r="E138"/>
  <c r="E137"/>
  <c r="E136"/>
  <c r="E135"/>
  <c r="E134"/>
  <c r="I133"/>
  <c r="E133"/>
  <c r="I132"/>
  <c r="E132"/>
  <c r="E131"/>
  <c r="E122"/>
  <c r="E125"/>
  <c r="E120"/>
  <c r="E117"/>
  <c r="E121"/>
  <c r="I125"/>
  <c r="I124"/>
  <c r="E126"/>
  <c r="E129"/>
  <c r="E128"/>
  <c r="E127"/>
  <c r="E124"/>
  <c r="I119"/>
  <c r="E123"/>
  <c r="I118"/>
  <c r="E119"/>
  <c r="I117"/>
  <c r="E118"/>
  <c r="I116"/>
  <c r="I115"/>
  <c r="E115"/>
  <c r="E105"/>
  <c r="D105"/>
  <c r="E122" i="53"/>
  <c r="E124"/>
  <c r="E123"/>
  <c r="I122"/>
  <c r="I145" i="54" s="1"/>
  <c r="E121" i="53"/>
  <c r="E120"/>
  <c r="E119"/>
  <c r="E118"/>
  <c r="E117"/>
  <c r="E116"/>
  <c r="E115"/>
  <c r="E114"/>
  <c r="I113"/>
  <c r="I115" s="1"/>
  <c r="I138" i="54" s="1"/>
  <c r="E113" i="53"/>
  <c r="E112"/>
  <c r="E111"/>
  <c r="E110"/>
  <c r="E109"/>
  <c r="E108"/>
  <c r="E107"/>
  <c r="I106"/>
  <c r="E106"/>
  <c r="I105"/>
  <c r="E105"/>
  <c r="E104"/>
  <c r="E103"/>
  <c r="E102"/>
  <c r="E101"/>
  <c r="E100"/>
  <c r="E99"/>
  <c r="I98"/>
  <c r="E98"/>
  <c r="I97"/>
  <c r="I101" s="1"/>
  <c r="E97"/>
  <c r="E96"/>
  <c r="E95"/>
  <c r="E94"/>
  <c r="E93"/>
  <c r="I92"/>
  <c r="E92"/>
  <c r="I91"/>
  <c r="E91"/>
  <c r="I90"/>
  <c r="E90"/>
  <c r="I89"/>
  <c r="I93" s="1"/>
  <c r="E89"/>
  <c r="I88"/>
  <c r="E88"/>
  <c r="E78"/>
  <c r="D78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I149" i="54" l="1"/>
  <c r="I128" i="56" s="1"/>
  <c r="I132" s="1"/>
  <c r="I106" i="57" s="1"/>
  <c r="I110" s="1"/>
  <c r="I89" i="58" s="1"/>
  <c r="I93" s="1"/>
  <c r="I83" i="59" s="1"/>
  <c r="I87" s="1"/>
  <c r="I91" i="61" s="1"/>
  <c r="I95" s="1"/>
  <c r="I101" i="62" s="1"/>
  <c r="I105" s="1"/>
  <c r="I89" i="65" s="1"/>
  <c r="I93" s="1"/>
  <c r="I95" i="67" s="1"/>
  <c r="I99" s="1"/>
  <c r="I92" i="68" s="1"/>
  <c r="I96" s="1"/>
  <c r="I98" i="71" s="1"/>
  <c r="I102" s="1"/>
  <c r="I96" i="74" s="1"/>
  <c r="I100" s="1"/>
  <c r="I95" i="76" s="1"/>
  <c r="I99" s="1"/>
  <c r="I103" i="78" s="1"/>
  <c r="I107" s="1"/>
  <c r="I105" i="80" s="1"/>
  <c r="I109" s="1"/>
  <c r="I98" i="82" s="1"/>
  <c r="I102" s="1"/>
  <c r="I92" i="84" s="1"/>
  <c r="I96" s="1"/>
  <c r="I96" i="86" s="1"/>
  <c r="I100" s="1"/>
  <c r="I99" i="88" s="1"/>
  <c r="I103" s="1"/>
  <c r="I109" i="90" s="1"/>
  <c r="I113" s="1"/>
  <c r="I105" i="92" s="1"/>
  <c r="I109" s="1"/>
  <c r="I98" i="94" s="1"/>
  <c r="I102" s="1"/>
  <c r="I103" i="96" s="1"/>
  <c r="I107" s="1"/>
  <c r="I118" i="99" s="1"/>
  <c r="I122" s="1"/>
  <c r="I109" i="101" s="1"/>
  <c r="I113" s="1"/>
  <c r="I102" i="103" s="1"/>
  <c r="I106" s="1"/>
  <c r="I94" i="105" s="1"/>
  <c r="I98" s="1"/>
  <c r="I94" i="107" s="1"/>
  <c r="I98" s="1"/>
  <c r="I97" i="109" s="1"/>
  <c r="I101" s="1"/>
  <c r="I55" i="111" s="1"/>
  <c r="I59" s="1"/>
  <c r="I88" i="113" s="1"/>
  <c r="I92" s="1"/>
  <c r="F78" i="53"/>
  <c r="F9" i="54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I142"/>
  <c r="E153"/>
  <c r="I135"/>
  <c r="I120"/>
  <c r="K120" s="1"/>
  <c r="I128"/>
  <c r="I106" i="56" s="1"/>
  <c r="I111" s="1"/>
  <c r="I84" i="57" s="1"/>
  <c r="I89" s="1"/>
  <c r="I67" i="58" s="1"/>
  <c r="I72" s="1"/>
  <c r="I61" i="59" s="1"/>
  <c r="I66" s="1"/>
  <c r="I69" i="61" s="1"/>
  <c r="I74" s="1"/>
  <c r="I79" i="62" s="1"/>
  <c r="I84" s="1"/>
  <c r="I67" i="65" s="1"/>
  <c r="I72" s="1"/>
  <c r="I73" i="67" s="1"/>
  <c r="I78" s="1"/>
  <c r="I70" i="68" s="1"/>
  <c r="I75" s="1"/>
  <c r="I76" i="71" s="1"/>
  <c r="I81" s="1"/>
  <c r="I74" i="74" s="1"/>
  <c r="I79" s="1"/>
  <c r="I73" i="76" s="1"/>
  <c r="I78" s="1"/>
  <c r="I81" i="78" s="1"/>
  <c r="I86" s="1"/>
  <c r="I83" i="80" s="1"/>
  <c r="I88" s="1"/>
  <c r="I76" i="82" s="1"/>
  <c r="I81" s="1"/>
  <c r="I70" i="84" s="1"/>
  <c r="I75" s="1"/>
  <c r="I74" i="86" s="1"/>
  <c r="I79" s="1"/>
  <c r="I77" i="88" s="1"/>
  <c r="I82" s="1"/>
  <c r="I87" i="90" s="1"/>
  <c r="I92" s="1"/>
  <c r="I83" i="92" s="1"/>
  <c r="I88" s="1"/>
  <c r="I76" i="94" s="1"/>
  <c r="I81" s="1"/>
  <c r="I81" i="96" s="1"/>
  <c r="I86" s="1"/>
  <c r="I96" i="99" s="1"/>
  <c r="I101" s="1"/>
  <c r="I87" i="101" s="1"/>
  <c r="I92" s="1"/>
  <c r="I80" i="103" s="1"/>
  <c r="I85" s="1"/>
  <c r="I72" i="105" s="1"/>
  <c r="I77" s="1"/>
  <c r="I72" i="107" s="1"/>
  <c r="I77" s="1"/>
  <c r="I75" i="109" s="1"/>
  <c r="I80" s="1"/>
  <c r="I108" i="53"/>
  <c r="I99" i="57" l="1"/>
  <c r="I103" s="1"/>
  <c r="I82" i="58" s="1"/>
  <c r="I86" s="1"/>
  <c r="I76" i="59" s="1"/>
  <c r="I80" s="1"/>
  <c r="I84" i="61" s="1"/>
  <c r="I88" s="1"/>
  <c r="I94" i="62" s="1"/>
  <c r="I98" s="1"/>
  <c r="I82" i="65" s="1"/>
  <c r="I86" s="1"/>
  <c r="I88" i="67" s="1"/>
  <c r="I92" s="1"/>
  <c r="I85" i="68" s="1"/>
  <c r="I89" s="1"/>
  <c r="I91" i="71" s="1"/>
  <c r="I95" s="1"/>
  <c r="I89" i="74" s="1"/>
  <c r="I93" s="1"/>
  <c r="I121" i="56"/>
  <c r="I125" s="1"/>
  <c r="F105" i="54"/>
  <c r="F9" i="56" s="1"/>
  <c r="E39" i="63"/>
  <c r="D39"/>
  <c r="I88" i="76" l="1"/>
  <c r="L93" i="74"/>
  <c r="F10" i="56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8"/>
  <c r="F9" i="57" s="1"/>
  <c r="E76" i="63"/>
  <c r="E79" s="1"/>
  <c r="F68"/>
  <c r="F39"/>
  <c r="I92" i="76" l="1"/>
  <c r="F10" i="5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6"/>
  <c r="F9" i="58" s="1"/>
  <c r="H39" i="63"/>
  <c r="K39" s="1"/>
  <c r="I96" i="78" l="1"/>
  <c r="I100" s="1"/>
  <c r="L91" i="76"/>
  <c r="F10" i="5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59" s="1"/>
  <c r="I102" i="80" l="1"/>
  <c r="I98"/>
  <c r="F10" i="5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3"/>
  <c r="F9" i="61" s="1"/>
  <c r="I91" i="82" l="1"/>
  <c r="I95" s="1"/>
  <c r="F10" i="6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1"/>
  <c r="F9" i="62" s="1"/>
  <c r="I89" i="84" l="1"/>
  <c r="I85"/>
  <c r="F10" i="62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1"/>
  <c r="F9" i="65" s="1"/>
  <c r="I93" i="86" l="1"/>
  <c r="I89"/>
  <c r="F10" i="65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67" s="1"/>
  <c r="I96" i="88" l="1"/>
  <c r="I92"/>
  <c r="F10" i="6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68" s="1"/>
  <c r="I106" i="90" l="1"/>
  <c r="I98" i="92" s="1"/>
  <c r="I102" s="1"/>
  <c r="I91" i="94" s="1"/>
  <c r="I95" s="1"/>
  <c r="I96" i="96" s="1"/>
  <c r="I100" s="1"/>
  <c r="I111" i="99" s="1"/>
  <c r="I115" s="1"/>
  <c r="I102" i="101" s="1"/>
  <c r="I106" s="1"/>
  <c r="I95" i="103" s="1"/>
  <c r="I99" s="1"/>
  <c r="I87" i="105" s="1"/>
  <c r="I91" s="1"/>
  <c r="I87" i="107" s="1"/>
  <c r="I91" s="1"/>
  <c r="I90" i="109" s="1"/>
  <c r="I94" s="1"/>
  <c r="I48" i="111" s="1"/>
  <c r="I52" s="1"/>
  <c r="I81" i="113" s="1"/>
  <c r="I85" s="1"/>
  <c r="I102" i="90"/>
  <c r="F10" i="6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7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7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7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7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8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8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8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8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8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9"/>
  <c r="F9" i="9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9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9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9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9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8"/>
  <c r="F9" i="10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103" s="1"/>
  <c r="F62" l="1"/>
  <c r="F9" i="105" s="1"/>
  <c r="F10" i="103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10" i="105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9" i="111" l="1"/>
  <c r="F9" i="109"/>
  <c r="F9" i="107"/>
  <c r="F10" i="111" l="1"/>
  <c r="F11" s="1"/>
  <c r="F12" s="1"/>
  <c r="F15"/>
  <c r="F9" i="113" s="1"/>
  <c r="F10" i="10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7"/>
  <c r="F9" i="112" s="1"/>
  <c r="F10" i="10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10" i="113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8"/>
  <c r="F10" i="112"/>
  <c r="F11" s="1"/>
  <c r="F12" s="1"/>
  <c r="F13" s="1"/>
  <c r="F16"/>
  <c r="E126" i="53"/>
  <c r="E132"/>
  <c r="F62" i="114"/>
  <c r="E31" i="112"/>
</calcChain>
</file>

<file path=xl/sharedStrings.xml><?xml version="1.0" encoding="utf-8"?>
<sst xmlns="http://schemas.openxmlformats.org/spreadsheetml/2006/main" count="9106" uniqueCount="481">
  <si>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</si>
  <si>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</si>
  <si>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</si>
  <si>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</si>
  <si>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</si>
  <si>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</si>
  <si>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</si>
  <si>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</si>
  <si>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</si>
  <si>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</si>
  <si>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</si>
  <si>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</si>
  <si>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</si>
  <si>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</si>
  <si>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</si>
  <si>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</si>
  <si>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</si>
  <si>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</si>
  <si>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</si>
  <si>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</si>
  <si>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</si>
  <si>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</si>
  <si>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</si>
  <si>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</si>
  <si>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</si>
  <si>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</si>
  <si>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</si>
  <si>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</si>
  <si>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</si>
  <si>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</si>
  <si>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</si>
  <si>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</si>
  <si>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</si>
  <si>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</si>
  <si>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</si>
  <si>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</si>
  <si>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</si>
  <si>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</si>
  <si>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</si>
  <si>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</si>
  <si>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</si>
  <si>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</si>
  <si>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</si>
  <si>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</si>
  <si>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</si>
  <si>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</si>
  <si>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</si>
  <si>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</si>
  <si>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</si>
  <si>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</si>
  <si>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</si>
  <si>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</si>
  <si>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</si>
  <si>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</si>
  <si>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</si>
  <si>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</si>
  <si>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</si>
  <si>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</si>
  <si>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</si>
  <si>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</si>
  <si>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</si>
  <si>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</si>
  <si>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</si>
  <si>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</si>
  <si>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</si>
  <si>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</si>
  <si>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</si>
  <si>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</si>
  <si>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</si>
  <si>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</si>
  <si>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</si>
  <si>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</si>
  <si>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</si>
  <si>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</si>
  <si>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</si>
  <si>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</si>
  <si>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</si>
  <si>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</si>
  <si>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</si>
  <si>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</si>
  <si>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</si>
  <si>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</si>
  <si>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</si>
  <si>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</si>
  <si>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</si>
  <si>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</si>
  <si>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</si>
  <si>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</si>
  <si>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</si>
  <si>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</si>
  <si>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</si>
  <si>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</si>
  <si>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</si>
  <si>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</si>
  <si>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</si>
  <si>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</si>
  <si>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</si>
  <si>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</si>
  <si>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</si>
  <si>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</si>
  <si>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</si>
  <si>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</si>
  <si>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</si>
  <si>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</si>
  <si>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</si>
  <si>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</si>
  <si>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</si>
  <si>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</si>
  <si>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</si>
  <si>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</si>
  <si>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</si>
  <si>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</si>
  <si>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</si>
  <si>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</si>
  <si>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</si>
  <si>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</si>
  <si>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</si>
  <si>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</si>
  <si>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</si>
  <si>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</si>
  <si>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</si>
  <si>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</si>
  <si>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</si>
  <si>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</si>
  <si>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</si>
  <si>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</si>
  <si>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</si>
  <si>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</si>
  <si>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</si>
  <si>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</si>
  <si>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</si>
  <si>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</si>
  <si>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</si>
  <si>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</si>
  <si>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</si>
  <si>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</si>
  <si>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</si>
  <si>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</si>
  <si>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</si>
  <si>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</si>
  <si>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</si>
  <si>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</si>
  <si>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</si>
  <si>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</si>
  <si>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OK</t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</si>
  <si>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</si>
  <si>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</si>
  <si>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</si>
  <si>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</si>
  <si>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</si>
  <si>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</si>
  <si>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</si>
  <si>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</si>
  <si>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</si>
  <si>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</si>
  <si>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</si>
  <si>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</si>
  <si>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</si>
  <si>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</si>
  <si>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</si>
  <si>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</si>
  <si>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</si>
  <si>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</si>
  <si>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</si>
  <si>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</si>
  <si>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</si>
  <si>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</si>
  <si>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</si>
  <si>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</si>
  <si>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</si>
  <si>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</si>
  <si>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</si>
  <si>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</si>
  <si>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</si>
  <si>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</si>
  <si>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</si>
  <si>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</si>
  <si>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</si>
  <si>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</si>
  <si>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</si>
  <si>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</si>
  <si>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</si>
  <si>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</si>
  <si>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</si>
  <si>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</si>
  <si>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</si>
  <si>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</si>
  <si>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</si>
  <si>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</si>
  <si>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</si>
  <si>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</si>
  <si>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</si>
  <si>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</si>
  <si>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ok</t>
  </si>
  <si>
    <t>TOTAL</t>
  </si>
  <si>
    <t>Outras despesas</t>
  </si>
  <si>
    <t>Rateio Admin.</t>
  </si>
  <si>
    <t>Despesas financeiras e bancárias</t>
  </si>
  <si>
    <t>Obras</t>
  </si>
  <si>
    <t>Bens e materiais permanentes</t>
  </si>
  <si>
    <t>Combustível</t>
  </si>
  <si>
    <t>Utilidades públicas (7)</t>
  </si>
  <si>
    <t>Locações diversas</t>
  </si>
  <si>
    <t>Locação de imóveis</t>
  </si>
  <si>
    <t>Outros serviços de terceiros</t>
  </si>
  <si>
    <t>Serviços médicos (*)</t>
  </si>
  <si>
    <t>Outros materiais de consumo</t>
  </si>
  <si>
    <t>Gêneros alimentícios</t>
  </si>
  <si>
    <t>Material médico e hospitalar (*)</t>
  </si>
  <si>
    <t>Medicamentos</t>
  </si>
  <si>
    <t>Recursos humanos (6)</t>
  </si>
  <si>
    <t>Recursos humanos (5)</t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</si>
  <si>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</si>
  <si>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</si>
  <si>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</si>
  <si>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</si>
  <si>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</si>
  <si>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</si>
  <si>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</si>
  <si>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</si>
  <si>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</si>
  <si>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</si>
  <si>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</si>
  <si>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</si>
  <si>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</si>
  <si>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</si>
  <si>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</si>
  <si>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</si>
  <si>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</si>
  <si>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</si>
  <si>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</si>
  <si>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</si>
  <si>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</si>
  <si>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</si>
  <si>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</si>
  <si>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</si>
  <si>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</si>
  <si>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</si>
  <si>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</si>
  <si>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</si>
  <si>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87.318.,02</t>
  </si>
  <si>
    <t>Rendimento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</si>
  <si>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</si>
  <si>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</si>
  <si>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</si>
  <si>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</si>
  <si>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</si>
  <si>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</si>
  <si>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</si>
  <si>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</si>
  <si>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</si>
  <si>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Soma Credito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</si>
  <si>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</si>
  <si>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</si>
  <si>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</si>
  <si>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</si>
  <si>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</si>
  <si>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</si>
  <si>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</si>
  <si>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</si>
  <si>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</si>
  <si>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</si>
  <si>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</si>
  <si>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</si>
  <si>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</si>
  <si>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</si>
  <si>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</si>
  <si>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</si>
  <si>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</si>
  <si>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</si>
  <si>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</si>
  <si>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</si>
  <si>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</si>
  <si>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</si>
  <si>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</si>
  <si>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</si>
  <si>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</si>
  <si>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</si>
  <si>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</si>
  <si>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</si>
  <si>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</si>
  <si>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</si>
  <si>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</si>
  <si>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</si>
  <si>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</si>
  <si>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</si>
  <si>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</si>
  <si>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</si>
  <si>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</si>
  <si>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</si>
  <si>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</si>
  <si>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</si>
  <si>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</si>
  <si>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</si>
  <si>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Repasses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</si>
  <si>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</si>
  <si>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</si>
  <si>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</si>
  <si>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</si>
  <si>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</si>
  <si>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</si>
  <si>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MATERIAIS DE CONSUMO E EXPEDIENTE HOSPITALAR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</si>
  <si>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</si>
  <si>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</si>
  <si>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</si>
  <si>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</si>
  <si>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</si>
  <si>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</si>
  <si>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</si>
  <si>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</si>
  <si>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</si>
  <si>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</si>
  <si>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</si>
  <si>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</si>
  <si>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</si>
  <si>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</si>
  <si>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</si>
  <si>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</si>
  <si>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</si>
  <si>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</si>
  <si>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</si>
  <si>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</si>
  <si>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</si>
  <si>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</si>
  <si>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</si>
  <si>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</si>
  <si>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</si>
  <si>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</si>
  <si>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</si>
  <si>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</si>
  <si>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</si>
  <si>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</si>
  <si>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</si>
  <si>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</si>
  <si>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</si>
  <si>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</si>
  <si>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</si>
  <si>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</si>
  <si>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</si>
  <si>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</si>
  <si>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</si>
  <si>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</si>
  <si>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</si>
  <si>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</si>
  <si>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</si>
  <si>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</si>
  <si>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</si>
  <si>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</si>
  <si>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</si>
  <si>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</si>
  <si>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</si>
  <si>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</si>
  <si>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</si>
  <si>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</si>
  <si>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</si>
  <si>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</si>
  <si>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</si>
  <si>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</si>
  <si>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</si>
  <si>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</si>
  <si>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</si>
  <si>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</si>
  <si>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</si>
  <si>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</si>
  <si>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</si>
  <si>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</si>
  <si>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</si>
  <si>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</si>
  <si>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</si>
  <si>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</si>
  <si>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</si>
  <si>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</si>
  <si>
    <t>Demonstrativo de Despesas Março 2020 - Conta CEF. 1925-8</t>
  </si>
  <si>
    <t>MATEUS MONTEIRO RAMOS</t>
  </si>
  <si>
    <t>BODY HEALTH SERVICOS MEDICOS SS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</si>
  <si>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</si>
  <si>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2020</t>
    </r>
  </si>
  <si>
    <t>Conferencia pagamentos</t>
  </si>
  <si>
    <t>Demonstrativo de Despesas Abril 2020 - Conta CEF. 1925-8</t>
  </si>
  <si>
    <t>MATERIAIS DE COPA E COZINHA</t>
  </si>
  <si>
    <t>ANA PAULA CARDOSO DE ARAUJO</t>
  </si>
  <si>
    <t>FATIMA MARINA FERREIRA LIRA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</si>
  <si>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03/2020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</si>
  <si>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02/2020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</si>
  <si>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01/2020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</si>
  <si>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</si>
  <si>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2020</t>
    </r>
  </si>
  <si>
    <t>Balancete Financeiro Abril 2020 - Conta CEF. 1925-8</t>
  </si>
  <si>
    <t>Balancete Financeiro Março 2020 - Conta CEF. 1925-8</t>
  </si>
  <si>
    <t>Demonstrativo de Despesas Maio 2020 - Conta CEF. 1925-8</t>
  </si>
  <si>
    <t>Balancete Financeiro Maio 2020 - Conta CEF. 1925-8</t>
  </si>
  <si>
    <t>CH DEV M35</t>
  </si>
  <si>
    <t>CH DEVOLV</t>
  </si>
  <si>
    <t>CH COMP RE</t>
  </si>
  <si>
    <t>BLUMEI PSIQUIATRIA LTDA</t>
  </si>
  <si>
    <t>N/C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</si>
  <si>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</si>
  <si>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</si>
  <si>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04/2020</t>
    </r>
  </si>
  <si>
    <t xml:space="preserve">   </t>
  </si>
  <si>
    <t>Demonstrativo de Despesas Junho 2020 - Conta CEF. 1925-8</t>
  </si>
  <si>
    <t>CR AUT RET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</si>
  <si>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</si>
  <si>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2020</t>
    </r>
  </si>
  <si>
    <t>Balancete Financeiro Junho 2020 - Conta CEF. 1925-8</t>
  </si>
  <si>
    <t>Demonstrativo de Despesas Julho 2020 - Conta CEF. 1925-8</t>
  </si>
  <si>
    <t>Balancete Financeiro Julho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</si>
  <si>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</si>
  <si>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2020</t>
    </r>
  </si>
  <si>
    <t>CREDITO CONTRATUAL COMPETENCIA ANTERIOR</t>
  </si>
  <si>
    <t>Demonstrativo de Despesas Agosto 2020 - Conta CEF. 1925-8</t>
  </si>
  <si>
    <t>Balancete Financeiro Agosto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</si>
  <si>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</si>
  <si>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2020</t>
    </r>
  </si>
  <si>
    <t>Demonstrativo de Despesas Setembro 2020 - Conta CEF. 1925-8</t>
  </si>
  <si>
    <t>Balancete Financeiro Setembro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</si>
  <si>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</t>
    </r>
  </si>
  <si>
    <t>Demonstrativo de Despesas Setembro 2020 - Conta CEF. 901925-5</t>
  </si>
  <si>
    <t>Balancete Financeiro Setembro 2020 - Conta CEF. 901925-5</t>
  </si>
  <si>
    <t>RESGATE DE APLICACAO FINANCEIRA - CAIXA ECONOMICA FEDERAL (901925-5)</t>
  </si>
  <si>
    <t>TRANsFERENCIA SALDO APLICAÇÃO DA CONTA 003.1925-8</t>
  </si>
  <si>
    <t>TRANSFERENCIA SALDO APLICAÇÃO PARA CONTA 003.00901925-5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</si>
  <si>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</si>
  <si>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2020</t>
    </r>
  </si>
  <si>
    <t>Demonstrativo de Despesas Outubro 2020 - Conta CEF. 1925-8</t>
  </si>
  <si>
    <t>(06/10/2020)</t>
  </si>
  <si>
    <t>(07/10/2020)</t>
  </si>
  <si>
    <t>TARIFA ECHAPORA</t>
  </si>
  <si>
    <t>RECEBIMENTO REPASSE-ECHAPORA</t>
  </si>
  <si>
    <t>TRANSFERENCIA (-)</t>
  </si>
  <si>
    <t>TARIFA BANCARIA</t>
  </si>
  <si>
    <t>TRANSFERENCIA ENTRE CONTAS ECHAPORA (-)</t>
  </si>
  <si>
    <t>Balancete Financeiro Outubro 2020 - Conta CEF. 1925-8</t>
  </si>
  <si>
    <t>Demonstrativo de Despesas Outubro 2020 - Conta CEF. 901925-5</t>
  </si>
  <si>
    <t>(01/10/2020)</t>
  </si>
  <si>
    <t>(13/10/2020)</t>
  </si>
  <si>
    <t>(15/10/2020)</t>
  </si>
  <si>
    <t>(19/10/2020)</t>
  </si>
  <si>
    <t>(20/10/2020)</t>
  </si>
  <si>
    <t>(21/10/2020)</t>
  </si>
  <si>
    <t>(22/10/2020)</t>
  </si>
  <si>
    <t>(27/10/2020)</t>
  </si>
  <si>
    <t>(29/10/2020)</t>
  </si>
  <si>
    <t>(30/10/2020)</t>
  </si>
  <si>
    <t>PAGTO DEBITO C/C</t>
  </si>
  <si>
    <t>TRANSFERENCIA (+)</t>
  </si>
  <si>
    <t>PAGAMENTO RATEIO ECHAPORA</t>
  </si>
  <si>
    <t>PAGTO DE DESP ECHAPORA A ABHU</t>
  </si>
  <si>
    <t>RECEBIMENTO DESP ABHU - ECHAPO</t>
  </si>
  <si>
    <t>ISS A RECOLHER  LEI 357  ECHAPORA</t>
  </si>
  <si>
    <t>IR A RECOLHER  ECHAPORA</t>
  </si>
  <si>
    <t>INSS SEGURADO A RECOLHER  ECHAPORA</t>
  </si>
  <si>
    <t>MENSALIDADES SINDICATO  SINSAUDE  ECHAPORA</t>
  </si>
  <si>
    <t>PIS/COFINS/CSLL A RECOLHER  LEI 10833 5952  ECHAPORA</t>
  </si>
  <si>
    <t>SALARIOS E ORDENADOS A PAGAR - ECHAPORA</t>
  </si>
  <si>
    <t>CONTRIBUICAO ASSISTENCIAL A RECOLHER</t>
  </si>
  <si>
    <t>ISS A RECOLHER</t>
  </si>
  <si>
    <t>BODY HEALTH SERVICOS MEDICOS S/S LTDA</t>
  </si>
  <si>
    <t>DAMARIS CARNEIRO ALIONSO ME</t>
  </si>
  <si>
    <t>MONIQUE ELANA DA CONCEICAO - ME</t>
  </si>
  <si>
    <t>RHA SERVICOS MEDICOS LTDA</t>
  </si>
  <si>
    <t>MINISTERIO DA ECONOMIA</t>
  </si>
  <si>
    <t>INSTITUTO NACIONAL DO SEGURO SOCIAL</t>
  </si>
  <si>
    <t>LIFE SERVICOS MEDICOS SS LTDA</t>
  </si>
  <si>
    <t>MENSALIDADE SINDICATO</t>
  </si>
  <si>
    <t>UNITRAUMA SERVICOS MEDICOS LTDA</t>
  </si>
  <si>
    <t>BOTELHO DE MORAES MEDICINA LTDA</t>
  </si>
  <si>
    <t>(05/10/2020)</t>
  </si>
  <si>
    <t>(03/10/2020)</t>
  </si>
  <si>
    <t>(08/10/2020)</t>
  </si>
  <si>
    <t>(02/10/2020)</t>
  </si>
  <si>
    <t>2305/ECHAPORA</t>
  </si>
  <si>
    <t>VALE ALIMENTACAO (EMPREGADOS)</t>
  </si>
  <si>
    <t>REMUNERACOES/SALARIOS CLT (FUNCIONARIOS)</t>
  </si>
  <si>
    <t>TRANSFERENCIA ENTRE CONTAS (+)</t>
  </si>
  <si>
    <t>PLANTONISTAS MEDICOS PRESENCIAIS PJ</t>
  </si>
  <si>
    <t>Balancete Financeiro Outubro 2020 - Conta CEF. 901925-5</t>
  </si>
  <si>
    <t>RESGATE DE APLICACAO FINANCEIRA</t>
  </si>
  <si>
    <t>RECEBIMENTO MENSAL DE REPASSE - ECHAPORA - VIA C.C.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</si>
  <si>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</si>
  <si>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2020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</si>
</sst>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43" fontId="0" fillId="4" borderId="0" xfId="1" applyFont="1" applyFill="1"/>
    <xf numFmtId="43" fontId="0" fillId="0" borderId="0" xfId="1" applyFont="1" applyFill="1"/>
    <xf numFmtId="0" fontId="0" fillId="0" borderId="0" xfId="0" applyFill="1"/>
    <xf numFmtId="4" fontId="9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4" fillId="0" borderId="23" xfId="10" applyFont="1" applyBorder="1"/>
    <xf numFmtId="43" fontId="0" fillId="0" borderId="0" xfId="10" applyNumberFormat="1" applyFont="1" applyBorder="1"/>
    <xf numFmtId="43" fontId="9" fillId="0" borderId="31" xfId="1" applyFont="1" applyBorder="1" applyAlignment="1">
      <alignment horizontal="right" vertical="center" wrapText="1"/>
    </xf>
    <xf numFmtId="43" fontId="9" fillId="4" borderId="31" xfId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3" fontId="9" fillId="0" borderId="29" xfId="1" applyFont="1" applyBorder="1" applyAlignment="1">
      <alignment horizontal="right" vertical="center" wrapText="1"/>
    </xf>
    <xf numFmtId="43" fontId="4" fillId="0" borderId="21" xfId="10" applyFont="1" applyBorder="1"/>
    <xf numFmtId="43" fontId="0" fillId="0" borderId="20" xfId="10" applyNumberFormat="1" applyFont="1" applyBorder="1"/>
    <xf numFmtId="0" fontId="9" fillId="0" borderId="28" xfId="0" applyFont="1" applyBorder="1" applyAlignment="1">
      <alignment horizontal="left" vertical="center" wrapText="1"/>
    </xf>
    <xf numFmtId="4" fontId="0" fillId="0" borderId="0" xfId="0" applyNumberFormat="1"/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0" fillId="0" borderId="0" xfId="0"/>
    <xf numFmtId="43" fontId="9" fillId="0" borderId="32" xfId="1" applyFont="1" applyBorder="1" applyAlignment="1">
      <alignment horizontal="right" vertical="center" wrapText="1"/>
    </xf>
    <xf numFmtId="43" fontId="9" fillId="0" borderId="33" xfId="1" applyFont="1" applyBorder="1" applyAlignment="1">
      <alignment horizontal="right" vertical="center" wrapText="1"/>
    </xf>
    <xf numFmtId="43" fontId="9" fillId="0" borderId="30" xfId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5" borderId="29" xfId="0" applyNumberFormat="1" applyFont="1" applyFill="1" applyBorder="1" applyAlignment="1">
      <alignment horizontal="right" vertical="center" wrapText="1"/>
    </xf>
    <xf numFmtId="4" fontId="12" fillId="5" borderId="31" xfId="0" applyNumberFormat="1" applyFont="1" applyFill="1" applyBorder="1" applyAlignment="1">
      <alignment horizontal="right" vertical="center" wrapText="1"/>
    </xf>
    <xf numFmtId="43" fontId="9" fillId="5" borderId="31" xfId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" fontId="11" fillId="0" borderId="0" xfId="0" applyNumberFormat="1" applyFont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8" fillId="6" borderId="0" xfId="0" applyFont="1" applyFill="1"/>
    <xf numFmtId="43" fontId="8" fillId="6" borderId="0" xfId="0" applyNumberFormat="1" applyFont="1" applyFill="1"/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3" fontId="9" fillId="0" borderId="31" xfId="1" applyFont="1" applyFill="1" applyBorder="1" applyAlignment="1">
      <alignment horizontal="right" vertical="center" wrapText="1"/>
    </xf>
    <xf numFmtId="43" fontId="10" fillId="2" borderId="31" xfId="1" applyFont="1" applyFill="1" applyBorder="1" applyAlignment="1">
      <alignment horizontal="right" vertical="center" wrapText="1"/>
    </xf>
    <xf numFmtId="0" fontId="0" fillId="0" borderId="0" xfId="0"/>
    <xf numFmtId="0" fontId="9" fillId="0" borderId="2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11" fillId="0" borderId="30" xfId="0" applyFont="1" applyBorder="1" applyAlignment="1">
      <alignment horizontal="right" vertical="center" wrapText="1"/>
    </xf>
    <xf numFmtId="43" fontId="0" fillId="0" borderId="0" xfId="1" applyFont="1" applyBorder="1"/>
    <xf numFmtId="43" fontId="12" fillId="0" borderId="29" xfId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4" fontId="11" fillId="0" borderId="37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5" xfId="0" applyBorder="1"/>
    <xf numFmtId="4" fontId="11" fillId="0" borderId="38" xfId="0" applyNumberFormat="1" applyFont="1" applyBorder="1" applyAlignment="1">
      <alignment horizontal="right" vertical="center" wrapText="1"/>
    </xf>
    <xf numFmtId="43" fontId="0" fillId="0" borderId="28" xfId="1" applyFont="1" applyBorder="1"/>
    <xf numFmtId="43" fontId="0" fillId="0" borderId="1" xfId="1" applyFont="1" applyBorder="1"/>
    <xf numFmtId="43" fontId="0" fillId="0" borderId="1" xfId="0" applyNumberFormat="1" applyBorder="1"/>
    <xf numFmtId="4" fontId="13" fillId="0" borderId="36" xfId="0" applyNumberFormat="1" applyFont="1" applyBorder="1" applyAlignment="1">
      <alignment horizontal="right" vertical="center" wrapText="1"/>
    </xf>
    <xf numFmtId="43" fontId="0" fillId="0" borderId="0" xfId="0" applyNumberFormat="1" applyBorder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4" borderId="0" xfId="0" applyNumberFormat="1" applyFill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0" fillId="0" borderId="0" xfId="0" applyNumberFormat="1" applyFill="1"/>
    <xf numFmtId="4" fontId="9" fillId="0" borderId="0" xfId="0" applyNumberFormat="1" applyFont="1" applyFill="1"/>
    <xf numFmtId="43" fontId="0" fillId="6" borderId="28" xfId="1" applyFont="1" applyFill="1" applyBorder="1"/>
    <xf numFmtId="4" fontId="9" fillId="6" borderId="31" xfId="0" applyNumberFormat="1" applyFont="1" applyFill="1" applyBorder="1" applyAlignment="1">
      <alignment horizontal="right" vertical="center" wrapText="1"/>
    </xf>
    <xf numFmtId="4" fontId="10" fillId="6" borderId="31" xfId="0" applyNumberFormat="1" applyFont="1" applyFill="1" applyBorder="1" applyAlignment="1">
      <alignment horizontal="right" vertical="center" wrapText="1"/>
    </xf>
    <xf numFmtId="4" fontId="9" fillId="4" borderId="29" xfId="0" applyNumberFormat="1" applyFont="1" applyFill="1" applyBorder="1" applyAlignment="1">
      <alignment horizontal="right" vertical="center" wrapText="1"/>
    </xf>
    <xf numFmtId="4" fontId="9" fillId="4" borderId="31" xfId="0" applyNumberFormat="1" applyFont="1" applyFill="1" applyBorder="1" applyAlignment="1">
      <alignment horizontal="right" vertical="center" wrapText="1"/>
    </xf>
    <xf numFmtId="43" fontId="0" fillId="4" borderId="28" xfId="1" applyFont="1" applyFill="1" applyBorder="1"/>
    <xf numFmtId="43" fontId="0" fillId="7" borderId="28" xfId="1" applyFont="1" applyFill="1" applyBorder="1"/>
    <xf numFmtId="4" fontId="12" fillId="7" borderId="29" xfId="0" applyNumberFormat="1" applyFont="1" applyFill="1" applyBorder="1" applyAlignment="1">
      <alignment horizontal="right" vertical="center" wrapText="1"/>
    </xf>
    <xf numFmtId="43" fontId="9" fillId="7" borderId="29" xfId="1" applyFont="1" applyFill="1" applyBorder="1" applyAlignment="1">
      <alignment horizontal="right" vertical="center" wrapText="1"/>
    </xf>
    <xf numFmtId="43" fontId="9" fillId="7" borderId="31" xfId="1" applyFont="1" applyFill="1" applyBorder="1" applyAlignment="1">
      <alignment horizontal="right" vertical="center" wrapText="1"/>
    </xf>
    <xf numFmtId="43" fontId="12" fillId="4" borderId="29" xfId="1" applyFont="1" applyFill="1" applyBorder="1" applyAlignment="1">
      <alignment horizontal="right" vertical="center" wrapText="1"/>
    </xf>
    <xf numFmtId="4" fontId="12" fillId="6" borderId="29" xfId="0" applyNumberFormat="1" applyFont="1" applyFill="1" applyBorder="1" applyAlignment="1">
      <alignment horizontal="right" vertical="center" wrapText="1"/>
    </xf>
    <xf numFmtId="43" fontId="9" fillId="6" borderId="29" xfId="1" applyFont="1" applyFill="1" applyBorder="1" applyAlignment="1">
      <alignment horizontal="right" vertical="center" wrapText="1"/>
    </xf>
    <xf numFmtId="4" fontId="0" fillId="0" borderId="0" xfId="0" applyNumberFormat="1" applyFill="1"/>
    <xf numFmtId="43" fontId="0" fillId="8" borderId="0" xfId="0" applyNumberFormat="1" applyFill="1"/>
    <xf numFmtId="43" fontId="9" fillId="8" borderId="0" xfId="1" applyFont="1" applyFill="1" applyBorder="1" applyAlignment="1">
      <alignment horizontal="right" vertical="center" wrapText="1"/>
    </xf>
    <xf numFmtId="0" fontId="0" fillId="0" borderId="1" xfId="0" applyBorder="1"/>
    <xf numFmtId="43" fontId="0" fillId="8" borderId="1" xfId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7">
    <cellStyle name="Normal" xfId="0" builtinId="0"/>
    <cellStyle name="Separador de milhares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38100</xdr:rowOff>
    </xdr:from>
    <xdr:ext cx="828676" cy="828676"/>
    <xdr:pic>
      <xdr:nvPicPr>
        <xdr:cNvPr id="9" name="Imagem 8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8305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65</xdr:row>
      <xdr:rowOff>114300</xdr:rowOff>
    </xdr:from>
    <xdr:to>
      <xdr:col>2</xdr:col>
      <xdr:colOff>245533</xdr:colOff>
      <xdr:row>66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858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744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60</xdr:row>
      <xdr:rowOff>114300</xdr:rowOff>
    </xdr:from>
    <xdr:to>
      <xdr:col>2</xdr:col>
      <xdr:colOff>245533</xdr:colOff>
      <xdr:row>61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60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18</xdr:row>
      <xdr:rowOff>114300</xdr:rowOff>
    </xdr:from>
    <xdr:to>
      <xdr:col>2</xdr:col>
      <xdr:colOff>245533</xdr:colOff>
      <xdr:row>19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51</xdr:row>
      <xdr:rowOff>114300</xdr:rowOff>
    </xdr:from>
    <xdr:to>
      <xdr:col>2</xdr:col>
      <xdr:colOff>245533</xdr:colOff>
      <xdr:row>52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379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workbookViewId="0">
      <selection activeCell="A2" sqref="A2:K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65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24" t="s">
        <v>12</v>
      </c>
      <c r="B78" s="325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>
      <c r="A83" s="299" t="s">
        <v>123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</row>
    <row r="84" spans="1:11" ht="18" customHeight="1"/>
    <row r="85" spans="1:11" ht="18" customHeight="1">
      <c r="A85" s="318" t="s">
        <v>126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</row>
    <row r="86" spans="1:11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>
      <c r="A87" s="319" t="s">
        <v>21</v>
      </c>
      <c r="B87" s="320"/>
      <c r="C87" s="320"/>
      <c r="D87" s="320"/>
      <c r="E87" s="321"/>
      <c r="F87" s="3"/>
      <c r="G87" s="322" t="s">
        <v>20</v>
      </c>
      <c r="H87" s="322"/>
      <c r="I87" s="322"/>
      <c r="J87" s="322"/>
      <c r="K87" s="24"/>
    </row>
    <row r="88" spans="1:11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306">
        <f>SUMIF($G$8:$G$77,G88,$E$8:$E$77)</f>
        <v>49999.55</v>
      </c>
      <c r="J88" s="307"/>
      <c r="K88" s="24"/>
    </row>
    <row r="89" spans="1:11">
      <c r="A89" s="27" t="s">
        <v>35</v>
      </c>
      <c r="B89" s="63"/>
      <c r="C89" s="63"/>
      <c r="D89" s="80"/>
      <c r="E89" s="29">
        <f t="shared" si="2"/>
        <v>763.34</v>
      </c>
      <c r="F89" s="3"/>
      <c r="G89" s="316" t="s">
        <v>74</v>
      </c>
      <c r="H89" s="317"/>
      <c r="I89" s="306">
        <f>SUMIF($G$8:$G$77,G89,$E$8:$E$77)</f>
        <v>12449.82</v>
      </c>
      <c r="J89" s="307"/>
      <c r="K89" s="24"/>
    </row>
    <row r="90" spans="1:11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316" t="s">
        <v>121</v>
      </c>
      <c r="H90" s="317"/>
      <c r="I90" s="306">
        <f>SUMIF($G$8:$G$77,G90,$E$8:$E$77)</f>
        <v>30000</v>
      </c>
      <c r="J90" s="307"/>
      <c r="K90" s="24"/>
    </row>
    <row r="91" spans="1:11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316" t="s">
        <v>76</v>
      </c>
      <c r="H91" s="317"/>
      <c r="I91" s="306">
        <f>SUMIF($G$8:$G$77,G91,$E$8:$E$77)</f>
        <v>55.85</v>
      </c>
      <c r="J91" s="307"/>
      <c r="K91" s="24"/>
    </row>
    <row r="92" spans="1:11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306">
        <f>SUMIF($G$8:$G$77,G92,$E$8:$E$77)</f>
        <v>245.31</v>
      </c>
      <c r="J92" s="307"/>
      <c r="K92" s="24"/>
    </row>
    <row r="93" spans="1:11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302">
        <f>SUM(I88:J92)</f>
        <v>92750.53</v>
      </c>
      <c r="J93" s="303"/>
      <c r="K93" s="24"/>
    </row>
    <row r="94" spans="1:11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306">
        <v>0</v>
      </c>
      <c r="J96" s="307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306">
        <f>SUMIF($G$8:$G$77,G97,$D$8:$D$77)</f>
        <v>29349.599999999999</v>
      </c>
      <c r="J97" s="307"/>
    </row>
    <row r="98" spans="1:11">
      <c r="A98" s="27"/>
      <c r="B98" s="63"/>
      <c r="C98" s="63"/>
      <c r="D98" s="80"/>
      <c r="E98" s="29">
        <f t="shared" si="2"/>
        <v>0</v>
      </c>
      <c r="F98" s="3"/>
      <c r="G98" s="316" t="s">
        <v>74</v>
      </c>
      <c r="H98" s="317"/>
      <c r="I98" s="306">
        <f>-SUMIF($G$8:$G$77,G98,$E$8:$E$77)</f>
        <v>-12449.82</v>
      </c>
      <c r="J98" s="307"/>
    </row>
    <row r="99" spans="1:11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306">
        <v>63.06</v>
      </c>
      <c r="J99" s="307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314"/>
      <c r="J100" s="315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310">
        <f>SUM(I96:J99)</f>
        <v>16962.84</v>
      </c>
      <c r="J101" s="311"/>
    </row>
    <row r="102" spans="1:11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312"/>
      <c r="J103" s="313"/>
      <c r="K103" s="24"/>
    </row>
    <row r="104" spans="1:11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304">
        <v>0</v>
      </c>
      <c r="J104" s="305"/>
      <c r="K104" s="24"/>
    </row>
    <row r="105" spans="1:11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306">
        <f>SUMIF($G$8:$G$77,G105,$E$8:$E$77)</f>
        <v>0</v>
      </c>
      <c r="J105" s="307"/>
      <c r="K105" s="24"/>
    </row>
    <row r="106" spans="1:11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306">
        <f>-SUMIF($G$8:$G$77,G106,$D$8:$D$77)</f>
        <v>0</v>
      </c>
      <c r="J106" s="307"/>
      <c r="K106" s="24"/>
    </row>
    <row r="107" spans="1:11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314"/>
      <c r="J107" s="315"/>
      <c r="K107" s="24"/>
    </row>
    <row r="108" spans="1:11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302">
        <f>SUM(I104:J107)</f>
        <v>0</v>
      </c>
      <c r="J108" s="303"/>
      <c r="K108" s="24"/>
    </row>
    <row r="109" spans="1:11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308">
        <v>0</v>
      </c>
      <c r="J111" s="309"/>
      <c r="K111" s="24"/>
    </row>
    <row r="112" spans="1:11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291">
        <v>49999.55</v>
      </c>
      <c r="J112" s="292"/>
      <c r="K112" s="24"/>
    </row>
    <row r="113" spans="1:13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306">
        <f>-SUMIF($G$8:$G$77,G113,$E$8:$E$77)</f>
        <v>-49999.55</v>
      </c>
      <c r="J113" s="307"/>
      <c r="K113" s="24"/>
    </row>
    <row r="114" spans="1:13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300"/>
      <c r="J114" s="301"/>
      <c r="K114" s="24"/>
    </row>
    <row r="115" spans="1:13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10">
        <f>SUM(I111:J114)</f>
        <v>0</v>
      </c>
      <c r="J115" s="311"/>
      <c r="K115" s="24"/>
      <c r="M115" s="39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304">
        <v>0</v>
      </c>
      <c r="J118" s="305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306">
        <v>3294.87</v>
      </c>
      <c r="J119" s="307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306">
        <v>16926.48</v>
      </c>
      <c r="J120" s="30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300">
        <f>SUMIF($G$8:$G$77,G121,$D$8:$D$77)</f>
        <v>0</v>
      </c>
      <c r="J121" s="301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02">
        <f>SUM(I118:J121)</f>
        <v>20221.349999999999</v>
      </c>
      <c r="J122" s="303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>
      <c r="A125" s="27"/>
      <c r="B125" s="63"/>
      <c r="C125" s="63"/>
      <c r="D125" s="80"/>
      <c r="E125" s="29"/>
      <c r="F125" s="3"/>
      <c r="G125" s="82" t="s">
        <v>140</v>
      </c>
      <c r="H125" s="83"/>
      <c r="I125" s="291">
        <v>0</v>
      </c>
      <c r="J125" s="292"/>
      <c r="K125" s="24"/>
    </row>
    <row r="126" spans="1:13">
      <c r="A126" s="297" t="s">
        <v>22</v>
      </c>
      <c r="B126" s="298"/>
      <c r="C126" s="298"/>
      <c r="D126" s="81"/>
      <c r="E126" s="35">
        <f ca="1">SUM(E88:E129)</f>
        <v>278251.58999999997</v>
      </c>
      <c r="F126" s="3"/>
      <c r="G126" s="27" t="s">
        <v>141</v>
      </c>
      <c r="H126" s="83"/>
      <c r="I126" s="291">
        <v>4548.97</v>
      </c>
      <c r="J126" s="292"/>
      <c r="K126" s="24"/>
    </row>
    <row r="127" spans="1:13">
      <c r="F127" s="3"/>
      <c r="G127" s="82" t="s">
        <v>142</v>
      </c>
      <c r="H127" s="83"/>
      <c r="I127" s="291">
        <v>25375.47</v>
      </c>
      <c r="J127" s="292"/>
      <c r="K127" s="24"/>
    </row>
    <row r="128" spans="1:13">
      <c r="F128" s="3"/>
      <c r="G128" s="27"/>
      <c r="H128" s="41"/>
      <c r="I128" s="295"/>
      <c r="J128" s="296"/>
      <c r="K128" s="24"/>
    </row>
    <row r="129" spans="5:11">
      <c r="F129" s="3"/>
      <c r="G129" s="89" t="s">
        <v>18</v>
      </c>
      <c r="H129" s="88"/>
      <c r="I129" s="293">
        <f>SUM(I125:J128)</f>
        <v>29924.440000000002</v>
      </c>
      <c r="J129" s="294"/>
      <c r="K129" s="24"/>
    </row>
    <row r="131" spans="5:11">
      <c r="E131" s="46"/>
    </row>
    <row r="132" spans="5:11">
      <c r="E132" s="46">
        <f ca="1">D78-E126</f>
        <v>-92750.53</v>
      </c>
    </row>
    <row r="135" spans="5:11">
      <c r="E135" s="46"/>
    </row>
  </sheetData>
  <mergeCells count="47">
    <mergeCell ref="A2:K2"/>
    <mergeCell ref="A4:K4"/>
    <mergeCell ref="A6:F6"/>
    <mergeCell ref="G6:K6"/>
    <mergeCell ref="A78:B78"/>
    <mergeCell ref="A85:K85"/>
    <mergeCell ref="A87:E87"/>
    <mergeCell ref="G87:J87"/>
    <mergeCell ref="I88:J88"/>
    <mergeCell ref="G89:H89"/>
    <mergeCell ref="I89:J89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I105:J105"/>
    <mergeCell ref="I106:J106"/>
    <mergeCell ref="I107:J107"/>
    <mergeCell ref="I96:J96"/>
    <mergeCell ref="I97:J97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26:J126"/>
    <mergeCell ref="I127:J127"/>
    <mergeCell ref="I129:J129"/>
    <mergeCell ref="I128:J128"/>
    <mergeCell ref="I125:J12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topLeftCell="A17" workbookViewId="0">
      <selection activeCell="I65" sqref="I65:J65"/>
    </sheetView>
  </sheetViews>
  <sheetFormatPr defaultRowHeight="15"/>
  <cols>
    <col min="1" max="1" width="23.28515625" customWidth="1"/>
    <col min="2" max="2" width="17.7109375" customWidth="1"/>
    <col min="3" max="3" width="17.140625" customWidth="1"/>
    <col min="4" max="4" width="16.85546875" customWidth="1"/>
    <col min="5" max="5" width="17.85546875" customWidth="1"/>
    <col min="6" max="6" width="19.140625" customWidth="1"/>
    <col min="8" max="8" width="13.28515625" bestFit="1" customWidth="1"/>
    <col min="11" max="11" width="10.5703125" bestFit="1" customWidth="1"/>
    <col min="15" max="15" width="10.140625" bestFit="1" customWidth="1"/>
    <col min="17" max="17" width="10.140625" bestFit="1" customWidth="1"/>
    <col min="19" max="19" width="11.7109375" bestFit="1" customWidth="1"/>
    <col min="20" max="20" width="10.140625" bestFit="1" customWidth="1"/>
  </cols>
  <sheetData>
    <row r="1" spans="1:20" ht="15.75" thickBot="1"/>
    <row r="2" spans="1:20">
      <c r="A2" s="124">
        <v>162679.73000000001</v>
      </c>
      <c r="D2" s="124">
        <v>162679.73000000001</v>
      </c>
      <c r="I2" t="s">
        <v>241</v>
      </c>
    </row>
    <row r="3" spans="1:20" ht="15.75" thickBot="1">
      <c r="A3" s="125">
        <v>87318.02</v>
      </c>
      <c r="D3" s="125">
        <v>87318.02</v>
      </c>
    </row>
    <row r="4" spans="1:20" ht="15.75" thickBot="1">
      <c r="A4" s="124">
        <v>162679.73000000001</v>
      </c>
      <c r="I4">
        <f>63.06+251.78+658.08+793.38+761.47+843.96+1005.42</f>
        <v>4377.1500000000005</v>
      </c>
    </row>
    <row r="5" spans="1:20" ht="15.75" thickBot="1">
      <c r="A5" s="125">
        <v>87318.02</v>
      </c>
      <c r="D5" s="124">
        <v>162679.73000000001</v>
      </c>
    </row>
    <row r="6" spans="1:20" ht="15.75" thickBot="1">
      <c r="A6" s="123" t="s">
        <v>240</v>
      </c>
      <c r="D6" s="125">
        <v>87318.02</v>
      </c>
      <c r="O6" s="93">
        <v>1079215.28</v>
      </c>
      <c r="Q6" s="126">
        <v>1249988.75</v>
      </c>
      <c r="S6" s="119">
        <f>SUM(Q6:Q7)</f>
        <v>1254365.8999999999</v>
      </c>
      <c r="T6" s="119">
        <f>S6-O6</f>
        <v>175150.61999999988</v>
      </c>
    </row>
    <row r="7" spans="1:20" ht="15.75" thickBot="1">
      <c r="A7" s="124">
        <v>162679.73000000001</v>
      </c>
      <c r="H7" s="39"/>
      <c r="O7" s="96">
        <v>910084.41</v>
      </c>
      <c r="Q7" s="127">
        <v>4377.1499999999996</v>
      </c>
    </row>
    <row r="8" spans="1:20" ht="15.75" thickBot="1">
      <c r="A8" s="123" t="s">
        <v>240</v>
      </c>
      <c r="D8" s="124">
        <v>162679.73000000001</v>
      </c>
      <c r="H8" s="39"/>
    </row>
    <row r="9" spans="1:20" ht="15.75" thickBot="1">
      <c r="A9" s="124">
        <v>162679.73000000001</v>
      </c>
      <c r="D9" s="125">
        <v>87318.02</v>
      </c>
      <c r="H9" s="128">
        <v>169130.87</v>
      </c>
      <c r="O9" s="119">
        <f>O6-O7</f>
        <v>169130.87</v>
      </c>
    </row>
    <row r="10" spans="1:20" ht="15.75" thickBot="1">
      <c r="A10" s="123" t="s">
        <v>240</v>
      </c>
      <c r="H10" s="129">
        <v>249997.75</v>
      </c>
    </row>
    <row r="11" spans="1:20" ht="15.75" thickBot="1">
      <c r="A11" s="125">
        <v>162679.73000000001</v>
      </c>
      <c r="D11" s="124">
        <v>162679.73000000001</v>
      </c>
      <c r="H11" s="129">
        <v>1005.42</v>
      </c>
    </row>
    <row r="12" spans="1:20" ht="15.75" thickBot="1">
      <c r="D12" s="125">
        <v>87318.02</v>
      </c>
      <c r="F12" s="46">
        <f>SUM(D2:D12)</f>
        <v>999991</v>
      </c>
      <c r="H12" s="39"/>
    </row>
    <row r="13" spans="1:20" ht="15.75" thickBot="1">
      <c r="H13" s="39">
        <f>SUM(H9:H11)</f>
        <v>420134.04</v>
      </c>
    </row>
    <row r="14" spans="1:20">
      <c r="D14" s="124">
        <v>162679.73000000001</v>
      </c>
      <c r="H14" s="39"/>
    </row>
    <row r="15" spans="1:20" ht="15.75" thickBot="1">
      <c r="D15" s="125">
        <v>87318.02</v>
      </c>
      <c r="F15" s="46">
        <f>SUM(D2:D15)</f>
        <v>1249988.75</v>
      </c>
    </row>
    <row r="18" spans="1:17" ht="15.75" thickBot="1"/>
    <row r="19" spans="1:17" ht="112.5" customHeight="1" thickBot="1">
      <c r="A19" s="326" t="s">
        <v>242</v>
      </c>
      <c r="B19" s="326" t="s">
        <v>243</v>
      </c>
      <c r="C19" s="130" t="s">
        <v>244</v>
      </c>
      <c r="D19" s="130" t="s">
        <v>246</v>
      </c>
      <c r="E19" s="130"/>
      <c r="F19" s="326" t="s">
        <v>250</v>
      </c>
      <c r="Q19" s="126">
        <v>169130.87</v>
      </c>
    </row>
    <row r="20" spans="1:17" ht="67.5" customHeight="1" thickBot="1">
      <c r="A20" s="327"/>
      <c r="B20" s="327"/>
      <c r="C20" s="131" t="s">
        <v>245</v>
      </c>
      <c r="D20" s="131" t="s">
        <v>247</v>
      </c>
      <c r="E20" s="131" t="s">
        <v>248</v>
      </c>
      <c r="F20" s="327"/>
      <c r="Q20" s="127">
        <v>249997.75</v>
      </c>
    </row>
    <row r="21" spans="1:17" ht="15.75" thickBot="1">
      <c r="A21" s="328"/>
      <c r="B21" s="328"/>
      <c r="C21" s="132"/>
      <c r="D21" s="132"/>
      <c r="E21" s="133" t="s">
        <v>249</v>
      </c>
      <c r="F21" s="328"/>
      <c r="Q21" s="127">
        <v>1005.42</v>
      </c>
    </row>
    <row r="22" spans="1:17" s="122" customFormat="1" ht="24.95" customHeight="1" thickBot="1">
      <c r="A22" s="118" t="s">
        <v>211</v>
      </c>
      <c r="B22" s="134">
        <f>161469.31</f>
        <v>161469.31</v>
      </c>
      <c r="C22" s="137">
        <v>124644.93</v>
      </c>
      <c r="D22" s="115">
        <v>0</v>
      </c>
      <c r="E22" s="134">
        <f>11452+92184.42+87+9319.95+3005.22+8596.34</f>
        <v>124644.93</v>
      </c>
      <c r="F22" s="134">
        <f>342396.22+524.4+1450.62+10242.34</f>
        <v>354613.58</v>
      </c>
      <c r="Q22" s="127">
        <v>4600.54</v>
      </c>
    </row>
    <row r="23" spans="1:17" s="122" customFormat="1" ht="24.95" customHeight="1" thickBot="1">
      <c r="A23" s="114" t="s">
        <v>210</v>
      </c>
      <c r="B23" s="135"/>
      <c r="C23" s="138"/>
      <c r="D23" s="134"/>
      <c r="E23" s="134"/>
      <c r="F23" s="134"/>
      <c r="K23" s="122">
        <f>101283.82</f>
        <v>101283.82</v>
      </c>
    </row>
    <row r="24" spans="1:17" ht="24.95" customHeight="1" thickBot="1">
      <c r="A24" s="114" t="s">
        <v>209</v>
      </c>
      <c r="B24" s="111"/>
      <c r="C24" s="139"/>
      <c r="D24" s="134"/>
      <c r="E24" s="134"/>
      <c r="F24" s="134"/>
      <c r="K24">
        <v>92184.42</v>
      </c>
      <c r="Q24">
        <f>SUM(Q18:Q22)</f>
        <v>424734.57999999996</v>
      </c>
    </row>
    <row r="25" spans="1:17" ht="24.95" customHeight="1" thickBot="1">
      <c r="A25" s="114" t="s">
        <v>208</v>
      </c>
      <c r="B25" s="111"/>
      <c r="C25" s="139"/>
      <c r="D25" s="134"/>
      <c r="E25" s="134"/>
      <c r="F25" s="134"/>
      <c r="K25">
        <v>8406.74</v>
      </c>
      <c r="Q25" s="119">
        <v>236805.4</v>
      </c>
    </row>
    <row r="26" spans="1:17" ht="24.95" customHeight="1" thickBot="1">
      <c r="A26" s="114" t="s">
        <v>207</v>
      </c>
      <c r="B26" s="111"/>
      <c r="C26" s="139"/>
      <c r="D26" s="134"/>
      <c r="E26" s="134"/>
      <c r="F26" s="134"/>
      <c r="K26">
        <v>9319.9500000000007</v>
      </c>
      <c r="Q26" s="119">
        <f>Q24-Q25</f>
        <v>187929.17999999996</v>
      </c>
    </row>
    <row r="27" spans="1:17" ht="24.95" customHeight="1" thickBot="1">
      <c r="A27" s="114" t="s">
        <v>206</v>
      </c>
      <c r="B27" s="111"/>
      <c r="C27" s="139"/>
      <c r="D27" s="134"/>
      <c r="E27" s="134"/>
      <c r="F27" s="134"/>
      <c r="K27">
        <v>8484.27</v>
      </c>
    </row>
    <row r="28" spans="1:17" ht="24.95" customHeight="1" thickBot="1">
      <c r="A28" s="114" t="s">
        <v>205</v>
      </c>
      <c r="B28" s="111">
        <v>105280</v>
      </c>
      <c r="C28" s="138">
        <v>95206.57</v>
      </c>
      <c r="D28" s="115">
        <v>0</v>
      </c>
      <c r="E28" s="134">
        <f>83821.42+686.1+1614.59+2126.92+2352+4605.54</f>
        <v>95206.569999999992</v>
      </c>
      <c r="F28" s="134">
        <f>14207.2+105280+10756.29</f>
        <v>130243.48999999999</v>
      </c>
      <c r="H28">
        <v>15657.82</v>
      </c>
      <c r="K28">
        <v>552</v>
      </c>
    </row>
    <row r="29" spans="1:17" ht="24.95" customHeight="1" thickBot="1">
      <c r="A29" s="114" t="s">
        <v>204</v>
      </c>
      <c r="B29" s="111"/>
      <c r="C29" s="139"/>
      <c r="D29" s="134"/>
      <c r="E29" s="134"/>
      <c r="F29" s="134"/>
      <c r="H29">
        <f>64.72+817.2+97.5+129.2+342</f>
        <v>1450.6200000000001</v>
      </c>
      <c r="K29">
        <v>8596.34</v>
      </c>
    </row>
    <row r="30" spans="1:17" ht="24.95" customHeight="1" thickBot="1">
      <c r="A30" s="114" t="s">
        <v>203</v>
      </c>
      <c r="B30" s="111"/>
      <c r="C30" s="139"/>
      <c r="D30" s="134"/>
      <c r="E30" s="134"/>
      <c r="F30" s="134"/>
      <c r="K30">
        <v>16818.400000000001</v>
      </c>
    </row>
    <row r="31" spans="1:17" ht="24.95" customHeight="1" thickBot="1">
      <c r="A31" s="114" t="s">
        <v>202</v>
      </c>
      <c r="B31" s="111"/>
      <c r="C31" s="139"/>
      <c r="D31" s="111"/>
      <c r="E31" s="111"/>
      <c r="F31" s="111"/>
      <c r="H31">
        <f>H28-H29</f>
        <v>14207.199999999999</v>
      </c>
      <c r="K31">
        <f>SUM(K23:K30)</f>
        <v>245645.93999999997</v>
      </c>
    </row>
    <row r="32" spans="1:17" ht="24.95" customHeight="1" thickBot="1">
      <c r="A32" s="114" t="s">
        <v>201</v>
      </c>
      <c r="B32" s="111"/>
      <c r="C32" s="139"/>
      <c r="D32" s="111"/>
      <c r="E32" s="111"/>
      <c r="F32" s="111"/>
      <c r="K32" s="46">
        <f>K31-E43</f>
        <v>-4351.8100000000268</v>
      </c>
    </row>
    <row r="33" spans="1:11" ht="24.95" customHeight="1" thickBot="1">
      <c r="A33" s="114" t="s">
        <v>200</v>
      </c>
      <c r="B33" s="111"/>
      <c r="C33" s="139"/>
      <c r="D33" s="111"/>
      <c r="E33" s="111"/>
      <c r="F33" s="111"/>
    </row>
    <row r="34" spans="1:11" ht="24.95" customHeight="1" thickBot="1">
      <c r="A34" s="114" t="s">
        <v>199</v>
      </c>
      <c r="B34" s="111"/>
      <c r="C34" s="139"/>
      <c r="D34" s="111"/>
      <c r="E34" s="111"/>
      <c r="F34" s="111"/>
    </row>
    <row r="35" spans="1:11" ht="24.95" customHeight="1" thickBot="1">
      <c r="A35" s="114" t="s">
        <v>198</v>
      </c>
      <c r="B35" s="111"/>
      <c r="C35" s="139"/>
      <c r="D35" s="111"/>
      <c r="E35" s="111"/>
      <c r="F35" s="111"/>
    </row>
    <row r="36" spans="1:11" ht="24.95" customHeight="1" thickBot="1">
      <c r="A36" s="114" t="s">
        <v>197</v>
      </c>
      <c r="B36" s="111">
        <f>135.5-1.85</f>
        <v>133.65</v>
      </c>
      <c r="C36" s="139">
        <v>0</v>
      </c>
      <c r="D36" s="115">
        <v>135.5</v>
      </c>
      <c r="E36" s="111">
        <v>135.5</v>
      </c>
      <c r="F36" s="115">
        <v>0</v>
      </c>
    </row>
    <row r="37" spans="1:11" ht="24.95" customHeight="1" thickBot="1">
      <c r="A37" s="114" t="s">
        <v>196</v>
      </c>
      <c r="B37" s="111">
        <v>17609.27</v>
      </c>
      <c r="C37" s="139">
        <v>16818.400000000001</v>
      </c>
      <c r="D37" s="111">
        <v>0</v>
      </c>
      <c r="E37" s="111">
        <v>16818.400000000001</v>
      </c>
      <c r="F37" s="115">
        <v>17609.27</v>
      </c>
    </row>
    <row r="38" spans="1:11" ht="24.95" customHeight="1" thickBot="1">
      <c r="A38" s="114" t="s">
        <v>195</v>
      </c>
      <c r="B38" s="111"/>
      <c r="C38" s="111"/>
      <c r="D38" s="111"/>
      <c r="E38" s="111"/>
      <c r="F38" s="111"/>
    </row>
    <row r="39" spans="1:11" ht="24.95" customHeight="1" thickBot="1">
      <c r="A39" s="113" t="s">
        <v>194</v>
      </c>
      <c r="B39" s="112">
        <f>SUM(B22:B38)</f>
        <v>284492.23000000004</v>
      </c>
      <c r="C39" s="112">
        <f>SUM(C22:C38)</f>
        <v>236669.9</v>
      </c>
      <c r="D39" s="112">
        <f>SUM(D22:D38)</f>
        <v>135.5</v>
      </c>
      <c r="E39" s="112">
        <f>SUM(E22:E38)</f>
        <v>236805.4</v>
      </c>
      <c r="F39" s="112">
        <f>SUM(F22:F38)</f>
        <v>502466.34</v>
      </c>
      <c r="H39" s="148">
        <f>F39+999991</f>
        <v>1502457.34</v>
      </c>
      <c r="J39">
        <v>1502457.34</v>
      </c>
      <c r="K39" s="46">
        <f>H39-J39</f>
        <v>0</v>
      </c>
    </row>
    <row r="40" spans="1:11">
      <c r="B40" t="s">
        <v>193</v>
      </c>
      <c r="E40" t="s">
        <v>193</v>
      </c>
    </row>
    <row r="43" spans="1:11">
      <c r="A43" t="s">
        <v>149</v>
      </c>
      <c r="E43" s="39">
        <v>249997.75</v>
      </c>
    </row>
    <row r="44" spans="1:11">
      <c r="A44" t="s">
        <v>174</v>
      </c>
      <c r="E44" s="39">
        <v>83821.42</v>
      </c>
      <c r="F44" t="s">
        <v>193</v>
      </c>
    </row>
    <row r="45" spans="1:11">
      <c r="A45" t="s">
        <v>177</v>
      </c>
      <c r="E45" s="39">
        <v>0</v>
      </c>
    </row>
    <row r="46" spans="1:11">
      <c r="A46" t="s">
        <v>175</v>
      </c>
      <c r="E46" s="39">
        <v>11452</v>
      </c>
      <c r="F46" t="s">
        <v>193</v>
      </c>
    </row>
    <row r="47" spans="1:11">
      <c r="A47" t="s">
        <v>136</v>
      </c>
      <c r="E47" s="39">
        <v>0</v>
      </c>
    </row>
    <row r="48" spans="1:11">
      <c r="A48" t="s">
        <v>25</v>
      </c>
      <c r="E48" s="39">
        <v>0</v>
      </c>
    </row>
    <row r="49" spans="1:6">
      <c r="A49" t="s">
        <v>148</v>
      </c>
      <c r="E49" s="39">
        <v>92184.42</v>
      </c>
      <c r="F49" t="s">
        <v>193</v>
      </c>
    </row>
    <row r="50" spans="1:6">
      <c r="A50" t="s">
        <v>219</v>
      </c>
      <c r="E50" s="39">
        <v>87</v>
      </c>
      <c r="F50" t="s">
        <v>193</v>
      </c>
    </row>
    <row r="51" spans="1:6">
      <c r="A51" t="s">
        <v>29</v>
      </c>
      <c r="E51" s="39">
        <v>9319.9500000000007</v>
      </c>
      <c r="F51" t="s">
        <v>193</v>
      </c>
    </row>
    <row r="52" spans="1:6">
      <c r="A52" t="s">
        <v>31</v>
      </c>
      <c r="E52" s="39">
        <v>3691.32</v>
      </c>
      <c r="F52" t="s">
        <v>193</v>
      </c>
    </row>
    <row r="53" spans="1:6">
      <c r="A53" t="s">
        <v>218</v>
      </c>
      <c r="E53" s="39">
        <v>1614.5900000000001</v>
      </c>
      <c r="F53" t="s">
        <v>193</v>
      </c>
    </row>
    <row r="54" spans="1:6">
      <c r="A54" t="s">
        <v>28</v>
      </c>
      <c r="E54" s="39">
        <v>0</v>
      </c>
    </row>
    <row r="55" spans="1:6">
      <c r="A55" t="s">
        <v>150</v>
      </c>
      <c r="E55" s="39">
        <v>0</v>
      </c>
    </row>
    <row r="56" spans="1:6">
      <c r="A56" t="s">
        <v>220</v>
      </c>
      <c r="E56" s="39">
        <v>4605.54</v>
      </c>
    </row>
    <row r="57" spans="1:6">
      <c r="A57" t="s">
        <v>151</v>
      </c>
      <c r="E57" s="39">
        <v>8596.34</v>
      </c>
      <c r="F57" t="s">
        <v>193</v>
      </c>
    </row>
    <row r="58" spans="1:6">
      <c r="A58" t="s">
        <v>49</v>
      </c>
      <c r="E58" s="39">
        <v>0</v>
      </c>
    </row>
    <row r="59" spans="1:6">
      <c r="A59" t="s">
        <v>176</v>
      </c>
      <c r="E59" s="39">
        <v>16818.400000000001</v>
      </c>
      <c r="F59" t="s">
        <v>193</v>
      </c>
    </row>
    <row r="60" spans="1:6">
      <c r="A60" t="s">
        <v>43</v>
      </c>
      <c r="E60" s="39">
        <v>2126.92</v>
      </c>
      <c r="F60" t="s">
        <v>193</v>
      </c>
    </row>
    <row r="61" spans="1:6">
      <c r="A61" t="s">
        <v>179</v>
      </c>
      <c r="E61" s="39">
        <v>0</v>
      </c>
    </row>
    <row r="62" spans="1:6">
      <c r="A62" t="s">
        <v>146</v>
      </c>
      <c r="E62" s="39">
        <v>0</v>
      </c>
    </row>
    <row r="63" spans="1:6">
      <c r="A63" t="s">
        <v>34</v>
      </c>
      <c r="E63" s="39">
        <v>2352</v>
      </c>
      <c r="F63" t="s">
        <v>193</v>
      </c>
    </row>
    <row r="64" spans="1:6">
      <c r="A64" t="s">
        <v>178</v>
      </c>
      <c r="E64" s="39">
        <v>0</v>
      </c>
    </row>
    <row r="65" spans="1:6">
      <c r="A65" t="s">
        <v>72</v>
      </c>
      <c r="E65" s="39">
        <v>135.5</v>
      </c>
      <c r="F65" t="s">
        <v>193</v>
      </c>
    </row>
    <row r="66" spans="1:6">
      <c r="A66" t="s">
        <v>120</v>
      </c>
      <c r="E66" s="39">
        <v>0</v>
      </c>
    </row>
    <row r="68" spans="1:6">
      <c r="E68" s="46">
        <f>SUM(E44:E66)</f>
        <v>236805.40000000002</v>
      </c>
      <c r="F68" s="46">
        <f>E68-E39</f>
        <v>0</v>
      </c>
    </row>
    <row r="74" spans="1:6">
      <c r="E74" s="136">
        <v>420134.04</v>
      </c>
    </row>
    <row r="76" spans="1:6">
      <c r="E76" s="46">
        <f>E39</f>
        <v>236805.4</v>
      </c>
    </row>
    <row r="79" spans="1:6">
      <c r="E79" s="46">
        <f>E74-E76</f>
        <v>183328.63999999998</v>
      </c>
    </row>
  </sheetData>
  <mergeCells count="3">
    <mergeCell ref="A19:A21"/>
    <mergeCell ref="B19:B21"/>
    <mergeCell ref="F19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226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231</v>
      </c>
      <c r="H10" s="7" t="s">
        <v>235</v>
      </c>
      <c r="I10" s="4">
        <v>158139</v>
      </c>
      <c r="J10" s="19">
        <v>1</v>
      </c>
      <c r="K10" s="16">
        <v>43377</v>
      </c>
    </row>
    <row r="11" spans="1:11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145</v>
      </c>
      <c r="H11" s="7"/>
      <c r="I11" s="4"/>
      <c r="J11" s="19"/>
      <c r="K11" s="16"/>
    </row>
    <row r="12" spans="1:11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175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231</v>
      </c>
      <c r="H13" s="7" t="s">
        <v>236</v>
      </c>
      <c r="I13" s="4">
        <v>20547</v>
      </c>
      <c r="J13" s="19">
        <v>1</v>
      </c>
      <c r="K13" s="16">
        <v>43378</v>
      </c>
    </row>
    <row r="14" spans="1:11">
      <c r="A14" s="15">
        <v>43409</v>
      </c>
      <c r="B14" s="4">
        <v>102018</v>
      </c>
      <c r="C14" s="4" t="s">
        <v>188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122" customFormat="1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145</v>
      </c>
      <c r="H15" s="7"/>
      <c r="I15" s="4"/>
      <c r="J15" s="19"/>
      <c r="K15" s="16"/>
    </row>
    <row r="16" spans="1:11" s="122" customFormat="1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231</v>
      </c>
      <c r="H16" s="7" t="s">
        <v>237</v>
      </c>
      <c r="I16" s="4">
        <v>181683</v>
      </c>
      <c r="J16" s="19">
        <v>1</v>
      </c>
      <c r="K16" s="16">
        <v>43378</v>
      </c>
    </row>
    <row r="17" spans="1:11" s="122" customFormat="1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147</v>
      </c>
      <c r="H17" s="7"/>
      <c r="I17" s="4"/>
      <c r="J17" s="19"/>
      <c r="K17" s="16"/>
    </row>
    <row r="18" spans="1:11" s="122" customFormat="1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147</v>
      </c>
      <c r="H18" s="7"/>
      <c r="I18" s="4"/>
      <c r="J18" s="19"/>
      <c r="K18" s="16"/>
    </row>
    <row r="19" spans="1:11" s="122" customFormat="1">
      <c r="A19" s="15">
        <v>43411</v>
      </c>
      <c r="B19" s="4">
        <v>309379</v>
      </c>
      <c r="C19" s="4" t="s">
        <v>172</v>
      </c>
      <c r="D19" s="77">
        <v>92047.400000000009</v>
      </c>
      <c r="E19" s="5"/>
      <c r="F19" s="6">
        <f t="shared" si="0"/>
        <v>157950.35000000003</v>
      </c>
      <c r="G19" s="9" t="s">
        <v>148</v>
      </c>
      <c r="H19" s="7"/>
      <c r="I19" s="4"/>
      <c r="J19" s="19"/>
      <c r="K19" s="16"/>
    </row>
    <row r="20" spans="1:11" s="122" customFormat="1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 s="122" customFormat="1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145</v>
      </c>
      <c r="H21" s="7"/>
      <c r="I21" s="4"/>
      <c r="J21" s="19"/>
      <c r="K21" s="16"/>
    </row>
    <row r="22" spans="1:11" s="122" customFormat="1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231</v>
      </c>
      <c r="H22" s="7" t="s">
        <v>238</v>
      </c>
      <c r="I22" s="4">
        <v>380510</v>
      </c>
      <c r="J22" s="19">
        <v>1</v>
      </c>
      <c r="K22" s="16">
        <v>43383</v>
      </c>
    </row>
    <row r="23" spans="1:11" s="122" customFormat="1">
      <c r="A23" s="15">
        <v>43416</v>
      </c>
      <c r="B23" s="4">
        <v>567577</v>
      </c>
      <c r="C23" s="4" t="s">
        <v>216</v>
      </c>
      <c r="D23" s="77">
        <v>1690.78</v>
      </c>
      <c r="E23" s="5"/>
      <c r="F23" s="6">
        <f t="shared" si="0"/>
        <v>-1690.7799999999709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 s="122" customFormat="1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145</v>
      </c>
      <c r="H24" s="7"/>
      <c r="I24" s="4"/>
      <c r="J24" s="19"/>
      <c r="K24" s="16"/>
    </row>
    <row r="25" spans="1:11" s="122" customFormat="1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145</v>
      </c>
      <c r="H25" s="7"/>
      <c r="I25" s="4"/>
      <c r="J25" s="19"/>
      <c r="K25" s="16"/>
    </row>
    <row r="26" spans="1:11" s="122" customFormat="1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231</v>
      </c>
      <c r="H26" s="7" t="s">
        <v>239</v>
      </c>
      <c r="I26" s="4">
        <v>7618</v>
      </c>
      <c r="J26" s="19">
        <v>1</v>
      </c>
      <c r="K26" s="16">
        <v>43388</v>
      </c>
    </row>
    <row r="27" spans="1:11" s="122" customFormat="1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160</v>
      </c>
      <c r="I27" s="4">
        <v>201872</v>
      </c>
      <c r="J27" s="19">
        <v>1</v>
      </c>
      <c r="K27" s="16"/>
    </row>
    <row r="28" spans="1:11" s="122" customFormat="1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174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122" customFormat="1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122" customFormat="1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122" customFormat="1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122" customFormat="1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174</v>
      </c>
      <c r="H32" s="7" t="s">
        <v>183</v>
      </c>
      <c r="I32" s="4">
        <v>9</v>
      </c>
      <c r="J32" s="19">
        <v>5</v>
      </c>
      <c r="K32" s="16">
        <v>43416</v>
      </c>
    </row>
    <row r="33" spans="1:11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174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122" customFormat="1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174</v>
      </c>
      <c r="H34" s="7" t="s">
        <v>224</v>
      </c>
      <c r="I34" s="4">
        <v>14</v>
      </c>
      <c r="J34" s="19">
        <v>8</v>
      </c>
      <c r="K34" s="16">
        <v>43416</v>
      </c>
    </row>
    <row r="35" spans="1:11" s="122" customFormat="1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174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122" customFormat="1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150</v>
      </c>
      <c r="H36" s="7" t="s">
        <v>161</v>
      </c>
      <c r="I36" s="4">
        <v>1211241</v>
      </c>
      <c r="J36" s="19">
        <v>1</v>
      </c>
      <c r="K36" s="16"/>
    </row>
    <row r="37" spans="1:11" s="122" customFormat="1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145</v>
      </c>
      <c r="H37" s="7"/>
      <c r="I37" s="4"/>
      <c r="J37" s="19"/>
      <c r="K37" s="16"/>
    </row>
    <row r="38" spans="1:11" s="122" customFormat="1">
      <c r="A38" s="15">
        <v>43424</v>
      </c>
      <c r="B38" s="4">
        <v>235698</v>
      </c>
      <c r="C38" s="4" t="s">
        <v>173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223</v>
      </c>
      <c r="I38" s="4">
        <v>371</v>
      </c>
      <c r="J38" s="19">
        <v>6</v>
      </c>
      <c r="K38" s="16">
        <v>43416</v>
      </c>
    </row>
    <row r="39" spans="1:11" s="122" customFormat="1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174</v>
      </c>
      <c r="H39" s="7" t="s">
        <v>189</v>
      </c>
      <c r="I39" s="4">
        <v>3</v>
      </c>
      <c r="J39" s="19">
        <v>3</v>
      </c>
      <c r="K39" s="16">
        <v>43413</v>
      </c>
    </row>
    <row r="40" spans="1:11" s="122" customFormat="1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145</v>
      </c>
      <c r="H40" s="7"/>
      <c r="I40" s="4"/>
      <c r="J40" s="19"/>
      <c r="K40" s="16"/>
    </row>
    <row r="41" spans="1:11" s="122" customFormat="1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174</v>
      </c>
      <c r="H41" s="7" t="s">
        <v>184</v>
      </c>
      <c r="I41" s="4">
        <v>10</v>
      </c>
      <c r="J41" s="19">
        <v>5</v>
      </c>
      <c r="K41" s="16">
        <v>43416</v>
      </c>
    </row>
    <row r="42" spans="1:11" s="122" customFormat="1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145</v>
      </c>
      <c r="H42" s="7"/>
      <c r="I42" s="4"/>
      <c r="J42" s="19"/>
      <c r="K42" s="16"/>
    </row>
    <row r="43" spans="1:11" s="122" customFormat="1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145</v>
      </c>
      <c r="H43" s="7"/>
      <c r="I43" s="4"/>
      <c r="J43" s="19"/>
      <c r="K43" s="16"/>
    </row>
    <row r="44" spans="1:11" s="122" customFormat="1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174</v>
      </c>
      <c r="H44" s="7" t="s">
        <v>180</v>
      </c>
      <c r="I44" s="4">
        <v>32</v>
      </c>
      <c r="J44" s="19">
        <v>6</v>
      </c>
      <c r="K44" s="16">
        <v>43423</v>
      </c>
    </row>
    <row r="45" spans="1:11" s="122" customFormat="1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122" customFormat="1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145</v>
      </c>
      <c r="H46" s="7"/>
      <c r="I46" s="4"/>
      <c r="J46" s="19"/>
      <c r="K46" s="16"/>
    </row>
    <row r="47" spans="1:11" s="122" customFormat="1">
      <c r="A47" s="15">
        <v>43432</v>
      </c>
      <c r="B47" s="4">
        <v>0</v>
      </c>
      <c r="C47" s="4" t="s">
        <v>230</v>
      </c>
      <c r="D47" s="77"/>
      <c r="E47" s="77">
        <v>5</v>
      </c>
      <c r="F47" s="6">
        <f t="shared" si="0"/>
        <v>5.0000000000436557</v>
      </c>
      <c r="G47" s="9" t="s">
        <v>232</v>
      </c>
      <c r="H47" s="7"/>
      <c r="I47" s="4"/>
      <c r="J47" s="19"/>
      <c r="K47" s="16"/>
    </row>
    <row r="48" spans="1:11" s="122" customFormat="1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145</v>
      </c>
      <c r="H48" s="7"/>
      <c r="I48" s="4"/>
      <c r="J48" s="19"/>
      <c r="K48" s="16"/>
    </row>
    <row r="49" spans="1:11">
      <c r="A49" s="15">
        <v>43432</v>
      </c>
      <c r="B49" s="4">
        <v>309379</v>
      </c>
      <c r="C49" s="4" t="s">
        <v>172</v>
      </c>
      <c r="D49" s="77">
        <v>40696.44</v>
      </c>
      <c r="E49" s="5"/>
      <c r="F49" s="6">
        <f t="shared" si="0"/>
        <v>4.3655745685100555E-11</v>
      </c>
      <c r="G49" s="9" t="s">
        <v>233</v>
      </c>
      <c r="H49" s="7"/>
      <c r="I49" s="4"/>
      <c r="J49" s="19"/>
      <c r="K49" s="16"/>
    </row>
    <row r="50" spans="1:11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234</v>
      </c>
      <c r="H50" s="7"/>
      <c r="I50" s="4"/>
      <c r="J50" s="19"/>
      <c r="K50" s="16"/>
    </row>
    <row r="51" spans="1:11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234</v>
      </c>
      <c r="H51" s="7"/>
      <c r="I51" s="4"/>
      <c r="J51" s="19"/>
      <c r="K51" s="16"/>
    </row>
    <row r="52" spans="1:11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234</v>
      </c>
      <c r="H52" s="7"/>
      <c r="I52" s="4"/>
      <c r="J52" s="19"/>
      <c r="K52" s="16"/>
    </row>
    <row r="53" spans="1:11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145</v>
      </c>
      <c r="H53" s="7"/>
      <c r="I53" s="4"/>
      <c r="J53" s="19"/>
      <c r="K53" s="16"/>
    </row>
    <row r="54" spans="1:11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234</v>
      </c>
      <c r="H54" s="7"/>
      <c r="I54" s="4"/>
      <c r="J54" s="19"/>
      <c r="K54" s="16"/>
    </row>
    <row r="55" spans="1:11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176</v>
      </c>
      <c r="H55" s="7"/>
      <c r="I55" s="4"/>
      <c r="J55" s="19"/>
      <c r="K55" s="16"/>
    </row>
    <row r="56" spans="1:11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234</v>
      </c>
      <c r="H56" s="7"/>
      <c r="I56" s="4"/>
      <c r="J56" s="19"/>
      <c r="K56" s="16"/>
    </row>
    <row r="57" spans="1:11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234</v>
      </c>
      <c r="H57" s="7"/>
      <c r="I57" s="4"/>
      <c r="J57" s="19"/>
      <c r="K57" s="16"/>
    </row>
    <row r="58" spans="1:11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231</v>
      </c>
      <c r="H58" s="7" t="s">
        <v>239</v>
      </c>
      <c r="I58" s="4">
        <v>8067</v>
      </c>
      <c r="J58" s="19">
        <v>1</v>
      </c>
      <c r="K58" s="16">
        <v>43404</v>
      </c>
    </row>
    <row r="59" spans="1:11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145</v>
      </c>
      <c r="H59" s="7"/>
      <c r="I59" s="4"/>
      <c r="J59" s="19"/>
      <c r="K59" s="16"/>
    </row>
    <row r="60" spans="1:11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>
      <c r="A61" s="324" t="s">
        <v>12</v>
      </c>
      <c r="B61" s="325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>
      <c r="A66" s="299" t="s">
        <v>123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</row>
    <row r="67" spans="1:11" ht="18" customHeight="1"/>
    <row r="68" spans="1:11" ht="18" customHeight="1">
      <c r="A68" s="318" t="s">
        <v>227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</row>
    <row r="69" spans="1:11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>
      <c r="A70" s="319" t="s">
        <v>21</v>
      </c>
      <c r="B70" s="320"/>
      <c r="C70" s="320"/>
      <c r="D70" s="320"/>
      <c r="E70" s="321"/>
      <c r="F70" s="3"/>
      <c r="G70" s="322" t="s">
        <v>20</v>
      </c>
      <c r="H70" s="322"/>
      <c r="I70" s="322"/>
      <c r="J70" s="322"/>
      <c r="K70" s="24"/>
    </row>
    <row r="71" spans="1:11">
      <c r="A71" s="28" t="s">
        <v>149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147</v>
      </c>
      <c r="H71" s="26"/>
      <c r="I71" s="306">
        <f>SUMIF($G$8:$G$60,G71,$E$8:$E$60)</f>
        <v>249997.75</v>
      </c>
      <c r="J71" s="307"/>
      <c r="K71" s="24"/>
    </row>
    <row r="72" spans="1:11">
      <c r="A72" s="27" t="s">
        <v>174</v>
      </c>
      <c r="B72" s="63"/>
      <c r="C72" s="63"/>
      <c r="D72" s="80"/>
      <c r="E72" s="29">
        <f t="shared" si="1"/>
        <v>97033.31</v>
      </c>
      <c r="F72" s="3"/>
      <c r="G72" s="316" t="s">
        <v>145</v>
      </c>
      <c r="H72" s="317"/>
      <c r="I72" s="306">
        <f>SUMIF($G$8:$G$60,G72,$E$8:$E$60)</f>
        <v>183410.71000000002</v>
      </c>
      <c r="J72" s="307"/>
      <c r="K72" s="24"/>
    </row>
    <row r="73" spans="1:11">
      <c r="A73" s="27" t="s">
        <v>177</v>
      </c>
      <c r="B73" s="63"/>
      <c r="C73" s="63"/>
      <c r="D73" s="80"/>
      <c r="E73" s="29">
        <f t="shared" si="1"/>
        <v>0</v>
      </c>
      <c r="F73" s="3"/>
      <c r="G73" s="316" t="s">
        <v>232</v>
      </c>
      <c r="H73" s="317"/>
      <c r="I73" s="306">
        <f>SUMIF($G$8:$G$60,G73,$E$8:$E$60)</f>
        <v>5</v>
      </c>
      <c r="J73" s="307"/>
      <c r="K73" s="24"/>
    </row>
    <row r="74" spans="1:11">
      <c r="A74" s="27" t="s">
        <v>175</v>
      </c>
      <c r="B74" s="63"/>
      <c r="C74" s="63"/>
      <c r="D74" s="80"/>
      <c r="E74" s="29">
        <f t="shared" si="1"/>
        <v>10900</v>
      </c>
      <c r="F74" s="3"/>
      <c r="G74" s="316" t="s">
        <v>234</v>
      </c>
      <c r="H74" s="317"/>
      <c r="I74" s="306">
        <f>SUMIF($G$8:$G$60,G74,$E$8:$E$60)</f>
        <v>851.85</v>
      </c>
      <c r="J74" s="307"/>
      <c r="K74" s="24"/>
    </row>
    <row r="75" spans="1:11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306">
        <f>SUMIF($G$8:$G$60,G75,$E$8:$E$60)</f>
        <v>0</v>
      </c>
      <c r="J75" s="307"/>
      <c r="K75" s="24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302">
        <f>SUM(I71:J75)</f>
        <v>434265.31</v>
      </c>
      <c r="J76" s="303"/>
      <c r="K76" s="61">
        <f>E61-I76</f>
        <v>0</v>
      </c>
    </row>
    <row r="77" spans="1:11">
      <c r="A77" s="27" t="s">
        <v>148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106" t="s">
        <v>19</v>
      </c>
      <c r="H79" s="107"/>
      <c r="I79" s="306">
        <f>'CEF Outubro 2018'!I74:J74</f>
        <v>183365.14</v>
      </c>
      <c r="J79" s="307"/>
    </row>
    <row r="80" spans="1:11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149</v>
      </c>
      <c r="H80" s="107"/>
      <c r="I80" s="306">
        <f>SUMIF($G$8:$G$60,G80,$D$8:$D$60)</f>
        <v>157950.35</v>
      </c>
      <c r="J80" s="307"/>
    </row>
    <row r="81" spans="1:11">
      <c r="A81" s="27" t="s">
        <v>218</v>
      </c>
      <c r="B81" s="63"/>
      <c r="C81" s="63"/>
      <c r="D81" s="80"/>
      <c r="E81" s="29">
        <f t="shared" si="1"/>
        <v>1690.78</v>
      </c>
      <c r="F81" s="3"/>
      <c r="G81" s="316" t="s">
        <v>145</v>
      </c>
      <c r="H81" s="317"/>
      <c r="I81" s="306">
        <f>-SUMIF($G$8:$G$60,G81,$E$8:$E$60)</f>
        <v>-183410.71000000002</v>
      </c>
      <c r="J81" s="307"/>
    </row>
    <row r="82" spans="1:11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106" t="s">
        <v>30</v>
      </c>
      <c r="H82" s="107"/>
      <c r="I82" s="306">
        <v>926.03</v>
      </c>
      <c r="J82" s="307"/>
    </row>
    <row r="83" spans="1:11">
      <c r="A83" s="27" t="s">
        <v>150</v>
      </c>
      <c r="B83" s="63"/>
      <c r="C83" s="63"/>
      <c r="D83" s="80"/>
      <c r="E83" s="29">
        <f t="shared" si="1"/>
        <v>524.4</v>
      </c>
      <c r="F83" s="3"/>
      <c r="G83" s="30"/>
      <c r="H83" s="31"/>
      <c r="I83" s="314"/>
      <c r="J83" s="315"/>
    </row>
    <row r="84" spans="1:11">
      <c r="A84" s="27" t="s">
        <v>220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310">
        <f>SUM(I79:J82)</f>
        <v>158830.80999999997</v>
      </c>
      <c r="J84" s="311"/>
    </row>
    <row r="85" spans="1:11">
      <c r="A85" s="27" t="s">
        <v>151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108"/>
      <c r="K85" s="24"/>
    </row>
    <row r="86" spans="1:11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312"/>
      <c r="J86" s="313"/>
      <c r="K86" s="24"/>
    </row>
    <row r="87" spans="1:11">
      <c r="A87" s="27" t="s">
        <v>176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304">
        <f>'CEF Agosto 2018'!I79:J79</f>
        <v>0</v>
      </c>
      <c r="J87" s="305"/>
      <c r="K87" s="24"/>
    </row>
    <row r="88" spans="1:11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107"/>
      <c r="I88" s="306">
        <f>SUMIF($G$8:$G$60,G88,$E$8:$E$60)</f>
        <v>0</v>
      </c>
      <c r="J88" s="307"/>
      <c r="K88" s="24"/>
    </row>
    <row r="89" spans="1:11">
      <c r="A89" s="27" t="s">
        <v>179</v>
      </c>
      <c r="B89" s="63"/>
      <c r="C89" s="63"/>
      <c r="D89" s="80"/>
      <c r="E89" s="29">
        <f t="shared" si="1"/>
        <v>0</v>
      </c>
      <c r="F89" s="3"/>
      <c r="G89" s="106" t="s">
        <v>14</v>
      </c>
      <c r="H89" s="107"/>
      <c r="I89" s="306">
        <f>-SUMIF($G$8:$G$60,G89,$D$8:$D$60)</f>
        <v>0</v>
      </c>
      <c r="J89" s="307"/>
      <c r="K89" s="24"/>
    </row>
    <row r="90" spans="1:11">
      <c r="A90" s="27" t="s">
        <v>146</v>
      </c>
      <c r="B90" s="63"/>
      <c r="C90" s="63"/>
      <c r="D90" s="80"/>
      <c r="E90" s="29">
        <f t="shared" si="1"/>
        <v>0</v>
      </c>
      <c r="F90" s="3"/>
      <c r="G90" s="30"/>
      <c r="H90" s="31"/>
      <c r="I90" s="314"/>
      <c r="J90" s="315"/>
      <c r="K90" s="24"/>
    </row>
    <row r="91" spans="1:11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302">
        <f>SUM(I87:J90)</f>
        <v>0</v>
      </c>
      <c r="J91" s="303"/>
      <c r="K91" s="24"/>
    </row>
    <row r="92" spans="1:11">
      <c r="A92" s="27" t="s">
        <v>178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108"/>
      <c r="K92" s="24"/>
    </row>
    <row r="93" spans="1:11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>
      <c r="A94" s="27" t="s">
        <v>120</v>
      </c>
      <c r="B94" s="63"/>
      <c r="C94" s="63"/>
      <c r="D94" s="80"/>
      <c r="E94" s="29">
        <f t="shared" si="1"/>
        <v>0</v>
      </c>
      <c r="F94" s="3"/>
      <c r="G94" s="106" t="s">
        <v>19</v>
      </c>
      <c r="H94" s="107"/>
      <c r="I94" s="308">
        <f>'CEF Outubro 2018'!I88:J88</f>
        <v>32000</v>
      </c>
      <c r="J94" s="309"/>
      <c r="K94" s="24"/>
    </row>
    <row r="95" spans="1:11">
      <c r="A95" s="27" t="s">
        <v>231</v>
      </c>
      <c r="B95" s="63"/>
      <c r="C95" s="63"/>
      <c r="D95" s="80"/>
      <c r="E95" s="29">
        <f t="shared" si="1"/>
        <v>2499.62</v>
      </c>
      <c r="F95" s="3"/>
      <c r="G95" s="106" t="s">
        <v>42</v>
      </c>
      <c r="H95" s="107"/>
      <c r="I95" s="291">
        <f>249997.75+16000</f>
        <v>265997.75</v>
      </c>
      <c r="J95" s="292"/>
      <c r="K95" s="24"/>
    </row>
    <row r="96" spans="1:11">
      <c r="A96" s="27" t="s">
        <v>233</v>
      </c>
      <c r="B96" s="63"/>
      <c r="C96" s="63"/>
      <c r="D96" s="80"/>
      <c r="E96" s="29">
        <f t="shared" si="1"/>
        <v>40696.44</v>
      </c>
      <c r="F96" s="3"/>
      <c r="G96" s="106" t="s">
        <v>147</v>
      </c>
      <c r="H96" s="107"/>
      <c r="I96" s="306">
        <f>-SUMIF($G$8:$G$60,G96,$E$8:$E$60)</f>
        <v>-249997.75</v>
      </c>
      <c r="J96" s="307"/>
      <c r="K96" s="24"/>
    </row>
    <row r="97" spans="1:13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300"/>
      <c r="J97" s="301"/>
      <c r="K97" s="24"/>
    </row>
    <row r="98" spans="1:13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310">
        <f>SUM(I94:J97)</f>
        <v>48000</v>
      </c>
      <c r="J98" s="311"/>
      <c r="K98" s="24"/>
      <c r="M98" s="39"/>
    </row>
    <row r="99" spans="1:13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304">
        <f>'CEF Outubro 2018'!I95:J95</f>
        <v>17609.270000000004</v>
      </c>
      <c r="J101" s="305"/>
      <c r="K101" s="24"/>
    </row>
    <row r="102" spans="1:13">
      <c r="A102" s="27"/>
      <c r="B102" s="63"/>
      <c r="C102" s="63"/>
      <c r="D102" s="80"/>
      <c r="E102" s="29">
        <f t="shared" si="1"/>
        <v>0</v>
      </c>
      <c r="F102" s="3"/>
      <c r="G102" s="27" t="s">
        <v>228</v>
      </c>
      <c r="H102" s="41"/>
      <c r="I102" s="306">
        <v>17692.71</v>
      </c>
      <c r="J102" s="307"/>
      <c r="K102" s="24"/>
    </row>
    <row r="103" spans="1:13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306"/>
      <c r="J103" s="307"/>
      <c r="K103" s="24"/>
    </row>
    <row r="104" spans="1:13">
      <c r="A104" s="27"/>
      <c r="B104" s="63"/>
      <c r="C104" s="63"/>
      <c r="D104" s="80"/>
      <c r="E104" s="29">
        <f t="shared" si="1"/>
        <v>0</v>
      </c>
      <c r="F104" s="3"/>
      <c r="G104" s="59" t="s">
        <v>176</v>
      </c>
      <c r="H104" s="60"/>
      <c r="I104" s="300">
        <f>-SUMIF($G$8:$G$60,G104,$D$8:$D$60)</f>
        <v>-17609.27</v>
      </c>
      <c r="J104" s="301"/>
      <c r="K104" s="24"/>
    </row>
    <row r="105" spans="1:13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302">
        <f>SUM(I101:J104)</f>
        <v>17692.710000000003</v>
      </c>
      <c r="J105" s="303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10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>
      <c r="A108" s="30"/>
      <c r="B108" s="85"/>
      <c r="C108" s="85"/>
      <c r="D108" s="86"/>
      <c r="E108" s="87"/>
      <c r="F108" s="3"/>
      <c r="G108" s="106" t="s">
        <v>140</v>
      </c>
      <c r="H108" s="107"/>
      <c r="I108" s="291">
        <f>'CEF Outubro 2018'!I102:J102</f>
        <v>87395.72</v>
      </c>
      <c r="J108" s="292"/>
      <c r="K108" s="24"/>
    </row>
    <row r="109" spans="1:13">
      <c r="A109" s="297" t="s">
        <v>22</v>
      </c>
      <c r="B109" s="298"/>
      <c r="C109" s="298"/>
      <c r="D109" s="81"/>
      <c r="E109" s="35">
        <f>SUM(E71:E107)</f>
        <v>438829.35000000009</v>
      </c>
      <c r="F109" s="3"/>
      <c r="G109" s="27" t="s">
        <v>229</v>
      </c>
      <c r="H109" s="107"/>
      <c r="I109" s="291">
        <v>29819.85</v>
      </c>
      <c r="J109" s="292"/>
      <c r="K109" s="24"/>
    </row>
    <row r="110" spans="1:13">
      <c r="F110" s="3"/>
      <c r="G110" s="106"/>
      <c r="H110" s="107"/>
      <c r="I110" s="291"/>
      <c r="J110" s="292"/>
      <c r="K110" s="24"/>
    </row>
    <row r="111" spans="1:13">
      <c r="E111" s="46">
        <f>D61-E109</f>
        <v>0</v>
      </c>
      <c r="F111" s="3"/>
      <c r="G111" s="27"/>
      <c r="H111" s="41"/>
      <c r="I111" s="295"/>
      <c r="J111" s="296"/>
      <c r="K111" s="24"/>
    </row>
    <row r="112" spans="1:13">
      <c r="F112" s="3"/>
      <c r="G112" s="89" t="s">
        <v>18</v>
      </c>
      <c r="H112" s="88"/>
      <c r="I112" s="302">
        <f>SUM(I108:J111)</f>
        <v>117215.57</v>
      </c>
      <c r="J112" s="303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72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7">
    <mergeCell ref="A109:C109"/>
    <mergeCell ref="I109:J109"/>
    <mergeCell ref="I110:J110"/>
    <mergeCell ref="I111:J111"/>
    <mergeCell ref="I112:J112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A66:K66"/>
    <mergeCell ref="A2:K2"/>
    <mergeCell ref="A4:K4"/>
    <mergeCell ref="A6:F6"/>
    <mergeCell ref="G6:K6"/>
    <mergeCell ref="A61:B6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opLeftCell="A19" workbookViewId="0">
      <selection activeCell="I65" sqref="I65:J65"/>
    </sheetView>
  </sheetViews>
  <sheetFormatPr defaultRowHeight="15"/>
  <cols>
    <col min="1" max="1" width="23.28515625" style="122" customWidth="1"/>
    <col min="2" max="2" width="17.7109375" style="122" customWidth="1"/>
    <col min="3" max="3" width="17.140625" style="122" customWidth="1"/>
    <col min="4" max="4" width="16.85546875" style="122" customWidth="1"/>
    <col min="5" max="5" width="17.85546875" style="122" customWidth="1"/>
    <col min="6" max="6" width="19.140625" style="122" customWidth="1"/>
    <col min="7" max="7" width="9.5703125" style="122" bestFit="1" customWidth="1"/>
    <col min="8" max="9" width="13.28515625" style="122" bestFit="1" customWidth="1"/>
    <col min="10" max="10" width="9.140625" style="122"/>
    <col min="11" max="11" width="9.5703125" style="122" bestFit="1" customWidth="1"/>
    <col min="12" max="16" width="9.140625" style="122"/>
    <col min="17" max="17" width="11.7109375" style="122" bestFit="1" customWidth="1"/>
    <col min="18" max="18" width="10.140625" style="122" bestFit="1" customWidth="1"/>
    <col min="19" max="16384" width="9.140625" style="122"/>
  </cols>
  <sheetData>
    <row r="1" spans="1:6" ht="15.75" thickBot="1"/>
    <row r="2" spans="1:6" ht="15.75" thickBot="1">
      <c r="A2" s="143" t="s">
        <v>251</v>
      </c>
      <c r="B2" s="128">
        <v>187929.18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926.03</v>
      </c>
      <c r="C4" s="41"/>
      <c r="D4" s="144"/>
      <c r="E4" s="41"/>
      <c r="F4" s="41"/>
    </row>
    <row r="5" spans="1:6" ht="15.75" thickBot="1">
      <c r="A5" s="143"/>
      <c r="B5" s="129">
        <v>856.85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439709.81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</row>
    <row r="15" spans="1:6" ht="67.5" customHeight="1">
      <c r="A15" s="327"/>
      <c r="B15" s="327"/>
      <c r="C15" s="131" t="s">
        <v>245</v>
      </c>
      <c r="D15" s="131" t="s">
        <v>247</v>
      </c>
      <c r="E15" s="131" t="s">
        <v>248</v>
      </c>
      <c r="F15" s="327"/>
    </row>
    <row r="16" spans="1:6" ht="15.75" thickBot="1">
      <c r="A16" s="328"/>
      <c r="B16" s="328"/>
      <c r="C16" s="132"/>
      <c r="D16" s="132"/>
      <c r="E16" s="133" t="s">
        <v>249</v>
      </c>
      <c r="F16" s="328"/>
    </row>
    <row r="17" spans="1:11" ht="24.95" customHeight="1" thickBot="1">
      <c r="A17" s="118" t="s">
        <v>211</v>
      </c>
      <c r="B17" s="134">
        <f>160106.41</f>
        <v>160106.41</v>
      </c>
      <c r="C17" s="149">
        <f>E17</f>
        <v>159068.84</v>
      </c>
      <c r="D17" s="115">
        <v>0</v>
      </c>
      <c r="E17" s="134">
        <f>10900+92047.4+9364.47+8.8+524.4+2499.62+40696.44+3027.71</f>
        <v>159068.84</v>
      </c>
      <c r="F17" s="134">
        <f>377191.51+496.8+21946.39</f>
        <v>399634.7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/>
      <c r="C23" s="150"/>
      <c r="D23" s="115"/>
      <c r="E23" s="134"/>
      <c r="F23" s="134"/>
    </row>
    <row r="24" spans="1:11" ht="24.95" customHeight="1" thickBot="1">
      <c r="A24" s="114" t="s">
        <v>204</v>
      </c>
      <c r="B24" s="111">
        <v>108460</v>
      </c>
      <c r="C24" s="151">
        <f>E24</f>
        <v>104101.89</v>
      </c>
      <c r="D24" s="111">
        <v>0</v>
      </c>
      <c r="E24" s="134">
        <f>97033.31+1690.78+2287.8+2352+738</f>
        <v>104101.89</v>
      </c>
      <c r="F24" s="134">
        <f>10900+108460+12905.34</f>
        <v>132265.34</v>
      </c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11">
        <v>99</v>
      </c>
      <c r="F31" s="115">
        <v>0</v>
      </c>
    </row>
    <row r="32" spans="1:11" ht="24.95" customHeight="1" thickBot="1">
      <c r="A32" s="114" t="s">
        <v>196</v>
      </c>
      <c r="B32" s="111">
        <v>17692.71</v>
      </c>
      <c r="C32" s="151">
        <f>E32</f>
        <v>17609.27</v>
      </c>
      <c r="D32" s="111">
        <v>0</v>
      </c>
      <c r="E32" s="111">
        <v>17609.27</v>
      </c>
      <c r="F32" s="115">
        <v>17692.71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286358.12000000005</v>
      </c>
      <c r="C34" s="152">
        <f>SUM(C17:C33)</f>
        <v>280780</v>
      </c>
      <c r="D34" s="152">
        <f>SUM(D17:D33)</f>
        <v>99</v>
      </c>
      <c r="E34" s="152">
        <f>SUM(E17:E33)</f>
        <v>280879</v>
      </c>
      <c r="F34" s="152">
        <f>SUM(F17:F33)</f>
        <v>549592.75</v>
      </c>
      <c r="H34" s="46">
        <v>749993.25</v>
      </c>
      <c r="I34" s="148">
        <f>F34+H34</f>
        <v>1299586</v>
      </c>
    </row>
    <row r="36" spans="1:9">
      <c r="D36" s="147" t="s">
        <v>17</v>
      </c>
      <c r="E36" s="148">
        <f>B8-E34</f>
        <v>158830.81</v>
      </c>
      <c r="F36" s="46"/>
    </row>
    <row r="38" spans="1:9">
      <c r="A38" s="122" t="s">
        <v>149</v>
      </c>
      <c r="E38" s="39">
        <v>157950.35</v>
      </c>
    </row>
    <row r="39" spans="1:9">
      <c r="A39" s="122" t="s">
        <v>174</v>
      </c>
      <c r="E39" s="39">
        <v>97033.31</v>
      </c>
      <c r="F39" s="122" t="s">
        <v>193</v>
      </c>
    </row>
    <row r="40" spans="1:9">
      <c r="A40" s="122" t="s">
        <v>177</v>
      </c>
      <c r="E40" s="39">
        <v>0</v>
      </c>
    </row>
    <row r="41" spans="1:9">
      <c r="A41" s="122" t="s">
        <v>175</v>
      </c>
      <c r="E41" s="39">
        <v>10900</v>
      </c>
      <c r="F41" s="122" t="s">
        <v>193</v>
      </c>
    </row>
    <row r="42" spans="1:9">
      <c r="A42" s="122" t="s">
        <v>136</v>
      </c>
      <c r="E42" s="39">
        <v>0</v>
      </c>
    </row>
    <row r="43" spans="1:9">
      <c r="A43" s="122" t="s">
        <v>25</v>
      </c>
      <c r="E43" s="39">
        <v>0</v>
      </c>
    </row>
    <row r="44" spans="1:9">
      <c r="A44" s="122" t="s">
        <v>148</v>
      </c>
      <c r="E44" s="39">
        <v>92047.400000000009</v>
      </c>
      <c r="F44" s="122" t="s">
        <v>193</v>
      </c>
    </row>
    <row r="45" spans="1:9">
      <c r="A45" s="122" t="s">
        <v>219</v>
      </c>
      <c r="E45" s="39">
        <v>0</v>
      </c>
    </row>
    <row r="46" spans="1:9">
      <c r="A46" s="122" t="s">
        <v>29</v>
      </c>
      <c r="E46" s="39">
        <v>9364.4699999999993</v>
      </c>
      <c r="F46" s="122" t="s">
        <v>193</v>
      </c>
    </row>
    <row r="47" spans="1:9">
      <c r="A47" s="122" t="s">
        <v>31</v>
      </c>
      <c r="E47" s="39">
        <v>3765.71</v>
      </c>
      <c r="F47" s="122">
        <v>738</v>
      </c>
      <c r="G47" s="46">
        <f>E47-F47</f>
        <v>3027.71</v>
      </c>
    </row>
    <row r="48" spans="1:9">
      <c r="A48" s="122" t="s">
        <v>218</v>
      </c>
      <c r="E48" s="39">
        <v>1690.78</v>
      </c>
      <c r="F48" s="122" t="s">
        <v>193</v>
      </c>
    </row>
    <row r="49" spans="1:6">
      <c r="A49" s="122" t="s">
        <v>28</v>
      </c>
      <c r="E49" s="39">
        <v>8.8000000000000007</v>
      </c>
      <c r="F49" s="122" t="s">
        <v>193</v>
      </c>
    </row>
    <row r="50" spans="1:6">
      <c r="A50" s="122" t="s">
        <v>150</v>
      </c>
      <c r="E50" s="39">
        <v>524.4</v>
      </c>
      <c r="F50" s="122" t="s">
        <v>193</v>
      </c>
    </row>
    <row r="51" spans="1:6">
      <c r="A51" s="122" t="s">
        <v>220</v>
      </c>
      <c r="E51" s="39">
        <v>0</v>
      </c>
    </row>
    <row r="52" spans="1:6">
      <c r="A52" s="122" t="s">
        <v>151</v>
      </c>
      <c r="E52" s="39">
        <v>0</v>
      </c>
    </row>
    <row r="53" spans="1:6">
      <c r="A53" s="122" t="s">
        <v>49</v>
      </c>
      <c r="E53" s="39">
        <v>0</v>
      </c>
    </row>
    <row r="54" spans="1:6">
      <c r="A54" s="122" t="s">
        <v>176</v>
      </c>
      <c r="E54" s="39">
        <v>17609.27</v>
      </c>
      <c r="F54" s="122" t="s">
        <v>193</v>
      </c>
    </row>
    <row r="55" spans="1:6">
      <c r="A55" s="122" t="s">
        <v>43</v>
      </c>
      <c r="E55" s="39">
        <v>2287.8000000000002</v>
      </c>
      <c r="F55" s="122" t="s">
        <v>193</v>
      </c>
    </row>
    <row r="56" spans="1:6">
      <c r="A56" s="122" t="s">
        <v>179</v>
      </c>
      <c r="E56" s="39">
        <v>0</v>
      </c>
    </row>
    <row r="57" spans="1:6">
      <c r="A57" s="122" t="s">
        <v>146</v>
      </c>
      <c r="E57" s="39">
        <v>0</v>
      </c>
    </row>
    <row r="58" spans="1:6">
      <c r="A58" s="122" t="s">
        <v>34</v>
      </c>
      <c r="E58" s="39">
        <v>2352</v>
      </c>
      <c r="F58" s="122" t="s">
        <v>193</v>
      </c>
    </row>
    <row r="59" spans="1:6">
      <c r="A59" s="122" t="s">
        <v>178</v>
      </c>
      <c r="E59" s="39">
        <v>0</v>
      </c>
    </row>
    <row r="60" spans="1:6">
      <c r="A60" s="122" t="s">
        <v>72</v>
      </c>
      <c r="E60" s="39">
        <v>99</v>
      </c>
      <c r="F60" s="122" t="s">
        <v>193</v>
      </c>
    </row>
    <row r="61" spans="1:6">
      <c r="A61" s="122" t="s">
        <v>120</v>
      </c>
      <c r="E61" s="39">
        <v>0</v>
      </c>
    </row>
    <row r="62" spans="1:6">
      <c r="A62" s="122" t="s">
        <v>231</v>
      </c>
      <c r="E62" s="122">
        <v>2499.62</v>
      </c>
      <c r="F62" s="122" t="s">
        <v>193</v>
      </c>
    </row>
    <row r="63" spans="1:6">
      <c r="A63" s="122" t="s">
        <v>233</v>
      </c>
      <c r="E63" s="46">
        <v>40696.44</v>
      </c>
      <c r="F63" s="46" t="s">
        <v>193</v>
      </c>
    </row>
    <row r="69" spans="5:5">
      <c r="E69" s="136"/>
    </row>
    <row r="71" spans="5:5">
      <c r="E71" s="46"/>
    </row>
    <row r="74" spans="5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8"/>
  <sheetViews>
    <sheetView workbookViewId="0">
      <selection activeCell="I65" sqref="I65:J65"/>
    </sheetView>
  </sheetViews>
  <sheetFormatPr defaultRowHeight="1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252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175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43439</v>
      </c>
      <c r="B13" s="4">
        <v>112018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43440</v>
      </c>
      <c r="B14" s="4">
        <v>309379</v>
      </c>
      <c r="C14" s="4" t="s">
        <v>172</v>
      </c>
      <c r="D14" s="77">
        <v>91193.54</v>
      </c>
      <c r="E14" s="5"/>
      <c r="F14" s="6">
        <f t="shared" si="0"/>
        <v>-91193.54</v>
      </c>
      <c r="G14" s="9" t="s">
        <v>148</v>
      </c>
      <c r="H14" s="7"/>
      <c r="I14" s="4"/>
      <c r="J14" s="19"/>
      <c r="K14" s="16"/>
    </row>
    <row r="15" spans="1:11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147</v>
      </c>
      <c r="H15" s="7"/>
      <c r="I15" s="4"/>
      <c r="J15" s="19"/>
      <c r="K15" s="16"/>
    </row>
    <row r="16" spans="1:11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147</v>
      </c>
      <c r="H16" s="7"/>
      <c r="I16" s="4"/>
      <c r="J16" s="19"/>
      <c r="K16" s="16"/>
    </row>
    <row r="17" spans="1:11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177</v>
      </c>
      <c r="H17" s="7" t="s">
        <v>181</v>
      </c>
      <c r="I17" s="4">
        <v>1245659</v>
      </c>
      <c r="J17" s="19">
        <v>1</v>
      </c>
      <c r="K17" s="16"/>
    </row>
    <row r="18" spans="1:11">
      <c r="A18" s="15">
        <v>43444</v>
      </c>
      <c r="B18" s="4">
        <v>708918</v>
      </c>
      <c r="C18" s="4" t="s">
        <v>216</v>
      </c>
      <c r="D18" s="77">
        <v>2072.46</v>
      </c>
      <c r="E18" s="5"/>
      <c r="F18" s="6">
        <f t="shared" si="0"/>
        <v>155723.82000000004</v>
      </c>
      <c r="G18" s="9" t="s">
        <v>218</v>
      </c>
      <c r="H18" s="7" t="s">
        <v>222</v>
      </c>
      <c r="I18" s="4">
        <v>889148152</v>
      </c>
      <c r="J18" s="19">
        <v>1</v>
      </c>
      <c r="K18" s="16"/>
    </row>
    <row r="19" spans="1:11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149</v>
      </c>
      <c r="H19" s="7"/>
      <c r="I19" s="4"/>
      <c r="J19" s="19"/>
      <c r="K19" s="16"/>
    </row>
    <row r="20" spans="1:11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174</v>
      </c>
      <c r="H20" s="7" t="s">
        <v>183</v>
      </c>
      <c r="I20" s="4">
        <v>11</v>
      </c>
      <c r="J20" s="19">
        <v>6</v>
      </c>
      <c r="K20" s="16">
        <v>43444</v>
      </c>
    </row>
    <row r="21" spans="1:11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174</v>
      </c>
      <c r="H21" s="7" t="s">
        <v>128</v>
      </c>
      <c r="I21" s="4">
        <v>27</v>
      </c>
      <c r="J21" s="19">
        <v>3</v>
      </c>
      <c r="K21" s="16">
        <v>43441</v>
      </c>
    </row>
    <row r="22" spans="1:11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174</v>
      </c>
      <c r="H22" s="7" t="s">
        <v>61</v>
      </c>
      <c r="I22" s="4">
        <v>23</v>
      </c>
      <c r="J22" s="19">
        <v>9</v>
      </c>
      <c r="K22" s="16">
        <v>43442</v>
      </c>
    </row>
    <row r="23" spans="1:11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145</v>
      </c>
      <c r="H23" s="7"/>
      <c r="I23" s="4"/>
      <c r="J23" s="19"/>
      <c r="K23" s="16"/>
    </row>
    <row r="24" spans="1:11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174</v>
      </c>
      <c r="H24" s="7" t="s">
        <v>127</v>
      </c>
      <c r="I24" s="4">
        <v>55</v>
      </c>
      <c r="J24" s="19">
        <v>9</v>
      </c>
      <c r="K24" s="16">
        <v>43442</v>
      </c>
    </row>
    <row r="25" spans="1:11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174</v>
      </c>
      <c r="H25" s="7" t="s">
        <v>224</v>
      </c>
      <c r="I25" s="4">
        <v>16</v>
      </c>
      <c r="J25" s="19">
        <v>9</v>
      </c>
      <c r="K25" s="16">
        <v>43441</v>
      </c>
    </row>
    <row r="26" spans="1:11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145</v>
      </c>
      <c r="H27" s="7"/>
      <c r="I27" s="4"/>
      <c r="J27" s="19"/>
      <c r="K27" s="16"/>
    </row>
    <row r="28" spans="1:11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174</v>
      </c>
      <c r="H28" s="7" t="s">
        <v>184</v>
      </c>
      <c r="I28" s="4">
        <v>12</v>
      </c>
      <c r="J28" s="19">
        <v>6</v>
      </c>
      <c r="K28" s="16">
        <v>43444</v>
      </c>
    </row>
    <row r="29" spans="1:11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145</v>
      </c>
      <c r="H29" s="7"/>
      <c r="I29" s="4"/>
      <c r="J29" s="19"/>
      <c r="K29" s="16"/>
    </row>
    <row r="30" spans="1:11">
      <c r="A30" s="15">
        <v>43452</v>
      </c>
      <c r="B30" s="4">
        <v>309379</v>
      </c>
      <c r="C30" s="4" t="s">
        <v>172</v>
      </c>
      <c r="D30" s="77">
        <v>31502.69</v>
      </c>
      <c r="E30" s="5"/>
      <c r="F30" s="6">
        <f t="shared" si="0"/>
        <v>4605.5400000000045</v>
      </c>
      <c r="G30" s="9" t="s">
        <v>148</v>
      </c>
      <c r="H30" s="7"/>
      <c r="I30" s="4"/>
      <c r="J30" s="19"/>
      <c r="K30" s="16"/>
    </row>
    <row r="31" spans="1:11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174</v>
      </c>
      <c r="H31" s="7" t="s">
        <v>189</v>
      </c>
      <c r="I31" s="4">
        <v>4</v>
      </c>
      <c r="J31" s="19">
        <v>4</v>
      </c>
      <c r="K31" s="16">
        <v>43444</v>
      </c>
    </row>
    <row r="32" spans="1:11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255</v>
      </c>
      <c r="H32" s="7" t="s">
        <v>161</v>
      </c>
      <c r="I32" s="4">
        <v>1</v>
      </c>
      <c r="J32" s="19">
        <v>1</v>
      </c>
      <c r="K32" s="16"/>
    </row>
    <row r="33" spans="1:11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256</v>
      </c>
      <c r="I33" s="4">
        <v>83</v>
      </c>
      <c r="J33" s="19">
        <v>1</v>
      </c>
      <c r="K33" s="16"/>
    </row>
    <row r="34" spans="1:11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145</v>
      </c>
      <c r="H34" s="7"/>
      <c r="I34" s="4"/>
      <c r="J34" s="19"/>
      <c r="K34" s="16"/>
    </row>
    <row r="35" spans="1:11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257</v>
      </c>
      <c r="I36" s="4">
        <v>139</v>
      </c>
      <c r="J36" s="19">
        <v>1</v>
      </c>
      <c r="K36" s="16"/>
    </row>
    <row r="37" spans="1:11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174</v>
      </c>
      <c r="H37" s="7" t="s">
        <v>180</v>
      </c>
      <c r="I37" s="4">
        <v>34</v>
      </c>
      <c r="J37" s="19">
        <v>7</v>
      </c>
      <c r="K37" s="16">
        <v>43445</v>
      </c>
    </row>
    <row r="38" spans="1:11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151</v>
      </c>
      <c r="H40" s="7"/>
      <c r="I40" s="4"/>
      <c r="J40" s="19"/>
      <c r="K40" s="16"/>
    </row>
    <row r="41" spans="1:11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151</v>
      </c>
      <c r="H41" s="7"/>
      <c r="I41" s="4"/>
      <c r="J41" s="19"/>
      <c r="K41" s="16"/>
    </row>
    <row r="42" spans="1:11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176</v>
      </c>
      <c r="H42" s="7"/>
      <c r="I42" s="4"/>
      <c r="J42" s="19"/>
      <c r="K42" s="16"/>
    </row>
    <row r="43" spans="1:11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151</v>
      </c>
      <c r="H43" s="7"/>
      <c r="I43" s="4"/>
      <c r="J43" s="19"/>
      <c r="K43" s="16"/>
    </row>
    <row r="44" spans="1:11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145</v>
      </c>
      <c r="H44" s="7"/>
      <c r="I44" s="4"/>
      <c r="J44" s="19"/>
      <c r="K44" s="16"/>
    </row>
    <row r="45" spans="1:11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151</v>
      </c>
      <c r="H45" s="7"/>
      <c r="I45" s="4"/>
      <c r="J45" s="19"/>
      <c r="K45" s="16"/>
    </row>
    <row r="46" spans="1:11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151</v>
      </c>
      <c r="H46" s="7"/>
      <c r="I46" s="4"/>
      <c r="J46" s="19"/>
      <c r="K46" s="16"/>
    </row>
    <row r="47" spans="1:11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234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24" t="s">
        <v>12</v>
      </c>
      <c r="B49" s="325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299" t="s">
        <v>123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</row>
    <row r="55" spans="1:11" ht="18" customHeight="1"/>
    <row r="56" spans="1:11" ht="18" customHeight="1">
      <c r="A56" s="318" t="s">
        <v>253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19" t="s">
        <v>21</v>
      </c>
      <c r="B58" s="320"/>
      <c r="C58" s="320"/>
      <c r="D58" s="320"/>
      <c r="E58" s="321"/>
      <c r="F58" s="3"/>
      <c r="G58" s="322" t="s">
        <v>20</v>
      </c>
      <c r="H58" s="322"/>
      <c r="I58" s="322"/>
      <c r="J58" s="322"/>
      <c r="K58" s="24"/>
    </row>
    <row r="59" spans="1:11">
      <c r="A59" s="28" t="s">
        <v>233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147</v>
      </c>
      <c r="H59" s="26"/>
      <c r="I59" s="306">
        <f>SUMIF($G$8:$G$48,G59,$E$8:$E$48)</f>
        <v>249997.75</v>
      </c>
      <c r="J59" s="307"/>
      <c r="K59" s="24"/>
    </row>
    <row r="60" spans="1:11">
      <c r="A60" s="27" t="s">
        <v>149</v>
      </c>
      <c r="B60" s="63"/>
      <c r="C60" s="63"/>
      <c r="D60" s="80"/>
      <c r="E60" s="29">
        <f t="shared" si="1"/>
        <v>155000</v>
      </c>
      <c r="F60" s="3"/>
      <c r="G60" s="316" t="s">
        <v>145</v>
      </c>
      <c r="H60" s="317"/>
      <c r="I60" s="306">
        <f>SUMIF($G$8:$G$48,G60,$E$8:$E$48)</f>
        <v>212769.00000000003</v>
      </c>
      <c r="J60" s="307"/>
      <c r="K60" s="24"/>
    </row>
    <row r="61" spans="1:11">
      <c r="A61" s="27" t="s">
        <v>174</v>
      </c>
      <c r="B61" s="63"/>
      <c r="C61" s="63"/>
      <c r="D61" s="80"/>
      <c r="E61" s="29">
        <f t="shared" si="1"/>
        <v>99840.829999999987</v>
      </c>
      <c r="F61" s="3"/>
      <c r="G61" s="316" t="s">
        <v>232</v>
      </c>
      <c r="H61" s="317"/>
      <c r="I61" s="306">
        <f>SUMIF($G$8:$G$48,G61,$E$8:$E$48)</f>
        <v>0</v>
      </c>
      <c r="J61" s="307"/>
      <c r="K61" s="24"/>
    </row>
    <row r="62" spans="1:11">
      <c r="A62" s="27" t="s">
        <v>177</v>
      </c>
      <c r="B62" s="63"/>
      <c r="C62" s="63"/>
      <c r="D62" s="80"/>
      <c r="E62" s="29">
        <f t="shared" si="1"/>
        <v>1007.93</v>
      </c>
      <c r="F62" s="3"/>
      <c r="G62" s="316" t="s">
        <v>234</v>
      </c>
      <c r="H62" s="317"/>
      <c r="I62" s="306">
        <f>SUMIF($G$8:$G$48,G62,$E$8:$E$48)</f>
        <v>198</v>
      </c>
      <c r="J62" s="307"/>
      <c r="K62" s="24"/>
    </row>
    <row r="63" spans="1:11">
      <c r="A63" s="27" t="s">
        <v>255</v>
      </c>
      <c r="B63" s="63"/>
      <c r="C63" s="63"/>
      <c r="D63" s="80"/>
      <c r="E63" s="29">
        <f t="shared" si="1"/>
        <v>496.8</v>
      </c>
      <c r="F63" s="3"/>
      <c r="G63" s="62"/>
      <c r="H63" s="26"/>
      <c r="I63" s="306">
        <f>SUMIF($G$8:$G$48,G63,$E$8:$E$48)</f>
        <v>0</v>
      </c>
      <c r="J63" s="307"/>
      <c r="K63" s="24"/>
    </row>
    <row r="64" spans="1:11">
      <c r="A64" s="27" t="s">
        <v>175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302">
        <f>SUM(I59:J63)</f>
        <v>462964.75</v>
      </c>
      <c r="J64" s="303"/>
      <c r="K64" s="61">
        <f>E49-I64</f>
        <v>0</v>
      </c>
    </row>
    <row r="65" spans="1:11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>
      <c r="A66" s="27" t="s">
        <v>148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>
      <c r="A67" s="27" t="s">
        <v>219</v>
      </c>
      <c r="B67" s="63"/>
      <c r="C67" s="63"/>
      <c r="D67" s="80"/>
      <c r="E67" s="29">
        <f t="shared" si="1"/>
        <v>0</v>
      </c>
      <c r="F67" s="3"/>
      <c r="G67" s="140" t="s">
        <v>19</v>
      </c>
      <c r="H67" s="141"/>
      <c r="I67" s="306">
        <f>'CEF Novembro 2018'!I84:J84</f>
        <v>158830.80999999997</v>
      </c>
      <c r="J67" s="307"/>
    </row>
    <row r="68" spans="1:11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149</v>
      </c>
      <c r="H68" s="141"/>
      <c r="I68" s="306">
        <f>SUMIF($G$8:$G$48,G68,$D$8:$D$48)</f>
        <v>155000</v>
      </c>
      <c r="J68" s="307"/>
    </row>
    <row r="69" spans="1:11">
      <c r="A69" s="27" t="s">
        <v>31</v>
      </c>
      <c r="B69" s="63"/>
      <c r="C69" s="63"/>
      <c r="D69" s="80"/>
      <c r="E69" s="29">
        <f t="shared" si="1"/>
        <v>3944.25</v>
      </c>
      <c r="F69" s="3"/>
      <c r="G69" s="316" t="s">
        <v>145</v>
      </c>
      <c r="H69" s="317"/>
      <c r="I69" s="306">
        <f>-SUMIF($G$8:$G$48,G69,$E$8:$E$48)</f>
        <v>-212769.00000000003</v>
      </c>
      <c r="J69" s="307"/>
    </row>
    <row r="70" spans="1:11">
      <c r="A70" s="27" t="s">
        <v>218</v>
      </c>
      <c r="B70" s="63"/>
      <c r="C70" s="63"/>
      <c r="D70" s="80"/>
      <c r="E70" s="29">
        <f t="shared" si="1"/>
        <v>2072.46</v>
      </c>
      <c r="F70" s="3"/>
      <c r="G70" s="140" t="s">
        <v>30</v>
      </c>
      <c r="H70" s="141"/>
      <c r="I70" s="306">
        <v>636.07000000000005</v>
      </c>
      <c r="J70" s="307"/>
    </row>
    <row r="71" spans="1:11">
      <c r="A71" s="27" t="s">
        <v>231</v>
      </c>
      <c r="B71" s="63"/>
      <c r="C71" s="63"/>
      <c r="D71" s="80"/>
      <c r="E71" s="29">
        <f t="shared" si="1"/>
        <v>0</v>
      </c>
      <c r="F71" s="3"/>
      <c r="G71" s="30"/>
      <c r="H71" s="31"/>
      <c r="I71" s="314"/>
      <c r="J71" s="315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10">
        <f>SUM(I67:J70)</f>
        <v>101697.87999999992</v>
      </c>
      <c r="J72" s="311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42"/>
      <c r="K73" s="24"/>
    </row>
    <row r="74" spans="1:11">
      <c r="A74" s="27" t="s">
        <v>220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12"/>
      <c r="J74" s="313"/>
      <c r="K74" s="24"/>
    </row>
    <row r="75" spans="1:11">
      <c r="A75" s="27" t="s">
        <v>151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304">
        <f>'CEF Agosto 2018'!I79:J79</f>
        <v>0</v>
      </c>
      <c r="J75" s="305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41"/>
      <c r="I76" s="306">
        <f>SUMIF($G$8:$G$48,G76,$E$8:$E$48)</f>
        <v>0</v>
      </c>
      <c r="J76" s="307"/>
      <c r="K76" s="24"/>
    </row>
    <row r="77" spans="1:11">
      <c r="A77" s="27" t="s">
        <v>176</v>
      </c>
      <c r="B77" s="63"/>
      <c r="C77" s="63"/>
      <c r="D77" s="80"/>
      <c r="E77" s="29">
        <f t="shared" si="1"/>
        <v>17692.71</v>
      </c>
      <c r="F77" s="3"/>
      <c r="G77" s="140" t="s">
        <v>14</v>
      </c>
      <c r="H77" s="141"/>
      <c r="I77" s="306">
        <f>-SUMIF($G$8:$G$48,G77,$D$8:$D$48)</f>
        <v>0</v>
      </c>
      <c r="J77" s="307"/>
      <c r="K77" s="24"/>
    </row>
    <row r="78" spans="1:11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314"/>
      <c r="J78" s="315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02">
        <f>SUM(I75:J78)</f>
        <v>0</v>
      </c>
      <c r="J79" s="303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42"/>
      <c r="K80" s="24"/>
    </row>
    <row r="81" spans="1:13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140" t="s">
        <v>19</v>
      </c>
      <c r="H82" s="141"/>
      <c r="I82" s="308">
        <f>'CEF Novembro 2018'!I98:J98</f>
        <v>48000</v>
      </c>
      <c r="J82" s="309"/>
      <c r="K82" s="24"/>
    </row>
    <row r="83" spans="1:13">
      <c r="A83" s="27" t="s">
        <v>72</v>
      </c>
      <c r="B83" s="63"/>
      <c r="C83" s="63"/>
      <c r="D83" s="80"/>
      <c r="E83" s="29">
        <f t="shared" si="1"/>
        <v>99</v>
      </c>
      <c r="F83" s="3"/>
      <c r="G83" s="140" t="s">
        <v>42</v>
      </c>
      <c r="H83" s="141"/>
      <c r="I83" s="291">
        <f>249997.75+16000</f>
        <v>265997.75</v>
      </c>
      <c r="J83" s="292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40" t="s">
        <v>147</v>
      </c>
      <c r="H84" s="141"/>
      <c r="I84" s="306">
        <f>-SUMIF($G$8:$G$48,G84,$E$8:$E$48)</f>
        <v>-249997.75</v>
      </c>
      <c r="J84" s="307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00"/>
      <c r="J85" s="301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0">
        <f>SUM(I82:J85)</f>
        <v>64000</v>
      </c>
      <c r="J86" s="311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04">
        <f>'CEF Novembro 2018'!I105:J105</f>
        <v>17692.710000000003</v>
      </c>
      <c r="J89" s="305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254</v>
      </c>
      <c r="H90" s="41"/>
      <c r="I90" s="306">
        <v>14117.05</v>
      </c>
      <c r="J90" s="307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06"/>
      <c r="J91" s="307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00">
        <f>-SUMIF($G$8:$G$48,G92,$D$8:$D$48)</f>
        <v>-17692.71</v>
      </c>
      <c r="J92" s="301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02">
        <f>SUM(I89:J92)</f>
        <v>14117.050000000003</v>
      </c>
      <c r="J93" s="303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4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27" t="s">
        <v>263</v>
      </c>
      <c r="H96" s="141"/>
      <c r="I96" s="291">
        <v>29777.48</v>
      </c>
      <c r="J96" s="292"/>
      <c r="K96" s="24"/>
    </row>
    <row r="97" spans="1:11">
      <c r="A97" s="297" t="s">
        <v>22</v>
      </c>
      <c r="B97" s="298"/>
      <c r="C97" s="298"/>
      <c r="D97" s="81"/>
      <c r="E97" s="35">
        <f>SUM(E59:E95)</f>
        <v>462964.74999999994</v>
      </c>
      <c r="F97" s="3"/>
      <c r="G97" s="27"/>
      <c r="H97" s="141"/>
      <c r="I97" s="291"/>
      <c r="J97" s="292"/>
      <c r="K97" s="24"/>
    </row>
    <row r="98" spans="1:11">
      <c r="E98" s="46">
        <f>D49-E97</f>
        <v>0</v>
      </c>
      <c r="F98" s="3"/>
      <c r="G98" s="27"/>
      <c r="H98" s="41"/>
      <c r="I98" s="295"/>
      <c r="J98" s="296"/>
      <c r="K98" s="24"/>
    </row>
    <row r="99" spans="1:11">
      <c r="F99" s="3"/>
      <c r="G99" s="89" t="s">
        <v>18</v>
      </c>
      <c r="H99" s="88"/>
      <c r="I99" s="302">
        <f>SUM(I96:J98)</f>
        <v>29777.48</v>
      </c>
      <c r="J99" s="303"/>
      <c r="K99" s="24"/>
    </row>
    <row r="100" spans="1:11">
      <c r="A100" s="27"/>
      <c r="B100" s="63"/>
      <c r="C100" s="63"/>
      <c r="D100" s="80"/>
      <c r="K100" s="24"/>
    </row>
    <row r="101" spans="1:11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>
      <c r="D102" s="122"/>
      <c r="F102" s="3"/>
      <c r="G102" s="45"/>
      <c r="H102" s="45"/>
      <c r="I102" s="69"/>
      <c r="J102" s="69"/>
      <c r="K102" s="24"/>
    </row>
    <row r="104" spans="1:11">
      <c r="E104" s="46"/>
    </row>
    <row r="105" spans="1:11">
      <c r="E105" s="46"/>
    </row>
    <row r="108" spans="1:11">
      <c r="E108" s="46"/>
    </row>
  </sheetData>
  <sortState ref="A59:E84">
    <sortCondition ref="A59"/>
  </sortState>
  <mergeCells count="46"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A56:K56"/>
    <mergeCell ref="A58:E58"/>
    <mergeCell ref="G58:J58"/>
    <mergeCell ref="I59:J59"/>
    <mergeCell ref="G60:H60"/>
    <mergeCell ref="I60:J60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I65" sqref="I65:J65"/>
    </sheetView>
  </sheetViews>
  <sheetFormatPr defaultRowHeight="15"/>
  <cols>
    <col min="1" max="1" width="23.28515625" style="153" customWidth="1"/>
    <col min="2" max="2" width="17.7109375" style="153" customWidth="1"/>
    <col min="3" max="3" width="17.140625" style="153" customWidth="1"/>
    <col min="4" max="4" width="16.85546875" style="153" customWidth="1"/>
    <col min="5" max="5" width="17.85546875" style="153" customWidth="1"/>
    <col min="6" max="6" width="19.140625" style="153" customWidth="1"/>
    <col min="7" max="7" width="9.5703125" style="153" bestFit="1" customWidth="1"/>
    <col min="8" max="9" width="13.28515625" style="153" bestFit="1" customWidth="1"/>
    <col min="10" max="10" width="9.140625" style="153"/>
    <col min="11" max="11" width="9.5703125" style="153" bestFit="1" customWidth="1"/>
    <col min="12" max="16" width="9.140625" style="153"/>
    <col min="17" max="17" width="11.7109375" style="153" bestFit="1" customWidth="1"/>
    <col min="18" max="18" width="10.140625" style="153" bestFit="1" customWidth="1"/>
    <col min="19" max="16384" width="9.140625" style="153"/>
  </cols>
  <sheetData>
    <row r="1" spans="1:6" ht="15.75" thickBot="1"/>
    <row r="2" spans="1:6" ht="15.75" thickBot="1">
      <c r="A2" s="143" t="s">
        <v>251</v>
      </c>
      <c r="B2" s="128">
        <v>158830.81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636.07000000000005</v>
      </c>
      <c r="C4" s="41"/>
      <c r="D4" s="144"/>
      <c r="E4" s="41"/>
      <c r="F4" s="41"/>
    </row>
    <row r="5" spans="1:6" ht="15.75" thickBot="1">
      <c r="A5" s="143"/>
      <c r="B5" s="129">
        <v>198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409662.63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</row>
    <row r="15" spans="1:6" ht="67.5" customHeight="1">
      <c r="A15" s="327"/>
      <c r="B15" s="327"/>
      <c r="C15" s="131" t="s">
        <v>245</v>
      </c>
      <c r="D15" s="131" t="s">
        <v>247</v>
      </c>
      <c r="E15" s="131" t="s">
        <v>248</v>
      </c>
      <c r="F15" s="327"/>
    </row>
    <row r="16" spans="1:6" ht="15.75" thickBot="1">
      <c r="A16" s="328"/>
      <c r="B16" s="328"/>
      <c r="C16" s="132"/>
      <c r="D16" s="132"/>
      <c r="E16" s="133" t="s">
        <v>249</v>
      </c>
      <c r="F16" s="328"/>
    </row>
    <row r="17" spans="1:11" ht="24.95" customHeight="1" thickBot="1">
      <c r="A17" s="118" t="s">
        <v>211</v>
      </c>
      <c r="B17" s="134">
        <f>162274.13</f>
        <v>162274.13</v>
      </c>
      <c r="C17" s="149">
        <v>181425.52</v>
      </c>
      <c r="D17" s="115">
        <v>0</v>
      </c>
      <c r="E17" s="134">
        <f>C17+D17</f>
        <v>181425.52</v>
      </c>
      <c r="F17" s="134">
        <f>331335.38+909.01+3255.69</f>
        <v>335500.08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110080</v>
      </c>
      <c r="C23" s="150">
        <v>108747.52</v>
      </c>
      <c r="D23" s="115">
        <v>0</v>
      </c>
      <c r="E23" s="134">
        <f>C23+D23</f>
        <v>108747.52</v>
      </c>
      <c r="F23" s="134">
        <f>13260.24+14643.37+110080</f>
        <v>137983.60999999999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34">
        <f>C31+D31</f>
        <v>99</v>
      </c>
      <c r="F31" s="115">
        <v>0</v>
      </c>
    </row>
    <row r="32" spans="1:11" ht="24.95" customHeight="1" thickBot="1">
      <c r="A32" s="114" t="s">
        <v>196</v>
      </c>
      <c r="B32" s="111">
        <v>14117.05</v>
      </c>
      <c r="C32" s="151">
        <v>17692.71</v>
      </c>
      <c r="D32" s="111"/>
      <c r="E32" s="134">
        <f>C32+D32</f>
        <v>17692.71</v>
      </c>
      <c r="F32" s="115">
        <v>14117.05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286570.18</v>
      </c>
      <c r="C34" s="152">
        <f>SUM(C17:C33)</f>
        <v>307865.75</v>
      </c>
      <c r="D34" s="152">
        <f>SUM(D17:D33)</f>
        <v>99</v>
      </c>
      <c r="E34" s="152">
        <f>SUM(E17:E33)</f>
        <v>307964.75</v>
      </c>
      <c r="F34" s="152">
        <f>SUM(F17:F33)</f>
        <v>487600.74</v>
      </c>
      <c r="H34" s="46">
        <v>499995.5</v>
      </c>
      <c r="I34" s="148">
        <f>F34+H34</f>
        <v>987596.24</v>
      </c>
    </row>
    <row r="36" spans="1:9">
      <c r="D36" s="147" t="s">
        <v>17</v>
      </c>
      <c r="E36" s="148">
        <f>B8-E34</f>
        <v>101697.88</v>
      </c>
      <c r="F36" s="46"/>
    </row>
    <row r="38" spans="1:9">
      <c r="A38" s="153" t="s">
        <v>174</v>
      </c>
      <c r="E38" s="39">
        <v>99840.829999999987</v>
      </c>
    </row>
    <row r="39" spans="1:9">
      <c r="A39" s="153" t="s">
        <v>177</v>
      </c>
      <c r="E39" s="39">
        <v>1007.93</v>
      </c>
    </row>
    <row r="40" spans="1:9">
      <c r="A40" s="153" t="s">
        <v>255</v>
      </c>
      <c r="E40" s="39">
        <v>496.8</v>
      </c>
    </row>
    <row r="41" spans="1:9">
      <c r="A41" s="153" t="s">
        <v>175</v>
      </c>
      <c r="E41" s="39">
        <v>10900</v>
      </c>
    </row>
    <row r="42" spans="1:9">
      <c r="A42" s="153" t="s">
        <v>25</v>
      </c>
      <c r="E42" s="39">
        <v>0</v>
      </c>
    </row>
    <row r="43" spans="1:9">
      <c r="A43" s="153" t="s">
        <v>148</v>
      </c>
      <c r="E43" s="39">
        <v>122696.23</v>
      </c>
    </row>
    <row r="44" spans="1:9">
      <c r="A44" s="153" t="s">
        <v>219</v>
      </c>
      <c r="E44" s="39">
        <v>0</v>
      </c>
    </row>
    <row r="45" spans="1:9">
      <c r="A45" s="153" t="s">
        <v>29</v>
      </c>
      <c r="E45" s="39">
        <v>15978.18</v>
      </c>
    </row>
    <row r="46" spans="1:9">
      <c r="A46" s="153" t="s">
        <v>31</v>
      </c>
      <c r="E46" s="39">
        <v>3944.25</v>
      </c>
    </row>
    <row r="47" spans="1:9">
      <c r="A47" s="153" t="s">
        <v>218</v>
      </c>
      <c r="E47" s="39">
        <v>2072.46</v>
      </c>
      <c r="G47" s="46"/>
    </row>
    <row r="48" spans="1:9">
      <c r="A48" s="153" t="s">
        <v>231</v>
      </c>
      <c r="E48" s="39">
        <v>0</v>
      </c>
    </row>
    <row r="49" spans="1:6">
      <c r="A49" s="153" t="s">
        <v>28</v>
      </c>
      <c r="E49" s="39">
        <v>0</v>
      </c>
    </row>
    <row r="50" spans="1:6">
      <c r="A50" s="153" t="s">
        <v>150</v>
      </c>
      <c r="E50" s="39">
        <v>0</v>
      </c>
    </row>
    <row r="51" spans="1:6">
      <c r="A51" s="153" t="s">
        <v>220</v>
      </c>
      <c r="E51" s="39">
        <v>0</v>
      </c>
    </row>
    <row r="52" spans="1:6">
      <c r="A52" s="153" t="s">
        <v>151</v>
      </c>
      <c r="E52" s="39">
        <v>30346.379999999997</v>
      </c>
    </row>
    <row r="53" spans="1:6">
      <c r="A53" s="153" t="s">
        <v>49</v>
      </c>
      <c r="E53" s="39">
        <v>0</v>
      </c>
    </row>
    <row r="54" spans="1:6">
      <c r="A54" s="153" t="s">
        <v>176</v>
      </c>
      <c r="E54" s="39">
        <v>17692.71</v>
      </c>
    </row>
    <row r="55" spans="1:6">
      <c r="A55" s="153" t="s">
        <v>43</v>
      </c>
      <c r="E55" s="39">
        <v>2889.98</v>
      </c>
    </row>
    <row r="56" spans="1:6">
      <c r="A56" s="153" t="s">
        <v>179</v>
      </c>
      <c r="E56" s="39">
        <v>0</v>
      </c>
    </row>
    <row r="57" spans="1:6">
      <c r="A57" s="153" t="s">
        <v>146</v>
      </c>
      <c r="E57" s="39">
        <v>0</v>
      </c>
    </row>
    <row r="58" spans="1:6">
      <c r="A58" s="153" t="s">
        <v>34</v>
      </c>
      <c r="E58" s="39">
        <v>0</v>
      </c>
    </row>
    <row r="59" spans="1:6">
      <c r="A59" s="153" t="s">
        <v>178</v>
      </c>
      <c r="E59" s="39">
        <v>0</v>
      </c>
    </row>
    <row r="60" spans="1:6">
      <c r="A60" s="153" t="s">
        <v>72</v>
      </c>
      <c r="E60" s="39">
        <v>99</v>
      </c>
    </row>
    <row r="61" spans="1:6">
      <c r="A61" s="153" t="s">
        <v>120</v>
      </c>
      <c r="E61" s="39">
        <v>0</v>
      </c>
    </row>
    <row r="62" spans="1:6">
      <c r="A62" s="153" t="s">
        <v>231</v>
      </c>
    </row>
    <row r="63" spans="1:6">
      <c r="A63" s="15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409662.63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101697.88000000006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101697.88000000006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topLeftCell="A15" workbookViewId="0">
      <selection activeCell="I65" sqref="I65:J6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10" width="13.28515625" style="163" bestFit="1" customWidth="1"/>
    <col min="11" max="11" width="9.5703125" style="163" bestFit="1" customWidth="1"/>
    <col min="12" max="12" width="13.28515625" style="163" bestFit="1" customWidth="1"/>
    <col min="13" max="13" width="9.140625" style="163"/>
    <col min="14" max="14" width="13.28515625" style="163" bestFit="1" customWidth="1"/>
    <col min="15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2" ht="15.75" thickBot="1"/>
    <row r="2" spans="1:12" ht="15.75" thickBot="1">
      <c r="A2" s="143" t="s">
        <v>251</v>
      </c>
      <c r="B2" s="128">
        <f>L19</f>
        <v>2049981.55</v>
      </c>
      <c r="C2" s="41"/>
      <c r="D2" s="144"/>
      <c r="E2" s="41"/>
      <c r="F2" s="41"/>
      <c r="K2" s="163" t="s">
        <v>294</v>
      </c>
      <c r="L2" s="93">
        <v>49999.55</v>
      </c>
    </row>
    <row r="3" spans="1:12" ht="15.75" thickBot="1">
      <c r="A3" s="143"/>
      <c r="B3" s="129">
        <f>L21</f>
        <v>5939.2499999999991</v>
      </c>
      <c r="C3" s="41"/>
      <c r="D3" s="144"/>
      <c r="E3" s="41"/>
      <c r="F3" s="41"/>
      <c r="L3" s="96">
        <v>249997.75</v>
      </c>
    </row>
    <row r="4" spans="1:12" ht="15.75" thickBot="1">
      <c r="A4" s="143"/>
      <c r="B4" s="129">
        <v>636.07000000000005</v>
      </c>
      <c r="C4" s="41"/>
      <c r="D4" s="144"/>
      <c r="E4" s="41"/>
      <c r="F4" s="41"/>
      <c r="L4" s="120">
        <v>162679.73000000001</v>
      </c>
    </row>
    <row r="5" spans="1:12" ht="15.75" thickBot="1">
      <c r="A5" s="143"/>
      <c r="B5" s="129">
        <v>198</v>
      </c>
      <c r="C5" s="41"/>
      <c r="D5" s="144"/>
      <c r="E5" s="41"/>
      <c r="F5" s="41"/>
      <c r="L5" s="96">
        <v>87318.02</v>
      </c>
    </row>
    <row r="6" spans="1:12">
      <c r="A6" s="143"/>
      <c r="B6" s="41"/>
      <c r="C6" s="41"/>
      <c r="D6" s="144"/>
      <c r="E6" s="41"/>
      <c r="F6" s="41"/>
      <c r="L6" s="120">
        <v>162679.73000000001</v>
      </c>
    </row>
    <row r="7" spans="1:12" ht="15.75" thickBot="1">
      <c r="A7" s="143"/>
      <c r="B7" s="41"/>
      <c r="C7" s="41"/>
      <c r="D7" s="144"/>
      <c r="E7" s="41"/>
      <c r="F7" s="41"/>
      <c r="L7" s="96">
        <v>87318.02</v>
      </c>
    </row>
    <row r="8" spans="1:12">
      <c r="A8" s="143"/>
      <c r="B8" s="146">
        <f>SUM(B2:B5)</f>
        <v>2056754.87</v>
      </c>
      <c r="C8" s="41"/>
      <c r="D8" s="144"/>
      <c r="E8" s="41"/>
      <c r="F8" s="41"/>
      <c r="L8" s="120">
        <v>162679.73000000001</v>
      </c>
    </row>
    <row r="9" spans="1:12" ht="15.75" thickBot="1">
      <c r="A9" s="145"/>
      <c r="B9" s="41"/>
      <c r="C9" s="41"/>
      <c r="D9" s="41"/>
      <c r="E9" s="41"/>
      <c r="F9" s="41"/>
      <c r="L9" s="96">
        <v>87318.02</v>
      </c>
    </row>
    <row r="10" spans="1:12">
      <c r="A10" s="145"/>
      <c r="B10" s="41"/>
      <c r="C10" s="41"/>
      <c r="D10" s="144"/>
      <c r="E10" s="41"/>
      <c r="F10" s="41"/>
      <c r="L10" s="120">
        <v>162679.73000000001</v>
      </c>
    </row>
    <row r="11" spans="1:12" ht="15.75" thickBot="1">
      <c r="L11" s="96">
        <v>87318.02</v>
      </c>
    </row>
    <row r="12" spans="1:12">
      <c r="L12" s="120">
        <v>162679.73000000001</v>
      </c>
    </row>
    <row r="13" spans="1:12" ht="15.75" thickBot="1">
      <c r="L13" s="96">
        <v>87318.02</v>
      </c>
    </row>
    <row r="14" spans="1:12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  <c r="L14" s="120">
        <v>162679.73000000001</v>
      </c>
    </row>
    <row r="15" spans="1:12" ht="67.5" customHeight="1" thickBot="1">
      <c r="A15" s="327"/>
      <c r="B15" s="327"/>
      <c r="C15" s="131" t="s">
        <v>245</v>
      </c>
      <c r="D15" s="131" t="s">
        <v>247</v>
      </c>
      <c r="E15" s="131" t="s">
        <v>248</v>
      </c>
      <c r="F15" s="327"/>
      <c r="L15" s="96">
        <v>87318.02</v>
      </c>
    </row>
    <row r="16" spans="1:12" ht="15.75" thickBot="1">
      <c r="A16" s="328"/>
      <c r="B16" s="328"/>
      <c r="C16" s="132"/>
      <c r="D16" s="132"/>
      <c r="E16" s="133" t="s">
        <v>249</v>
      </c>
      <c r="F16" s="328"/>
      <c r="L16" s="120">
        <v>162679.73000000001</v>
      </c>
    </row>
    <row r="17" spans="1:14" ht="24.95" customHeight="1" thickBot="1">
      <c r="A17" s="118" t="s">
        <v>211</v>
      </c>
      <c r="B17" s="134">
        <f>305702.22+637559.62+161469.31+160106.41+162274.13</f>
        <v>1427111.69</v>
      </c>
      <c r="C17" s="149"/>
      <c r="D17" s="115">
        <f>134127.5+466772.02+124644.93+159068.84+181425.52</f>
        <v>1066038.8099999998</v>
      </c>
      <c r="E17" s="134">
        <f>C17+D17</f>
        <v>1066038.8099999998</v>
      </c>
      <c r="F17" s="134">
        <f>B17-E17</f>
        <v>361072.88000000012</v>
      </c>
      <c r="L17" s="96">
        <v>87318.02</v>
      </c>
    </row>
    <row r="18" spans="1:14" ht="24.95" customHeight="1" thickBot="1">
      <c r="A18" s="114" t="s">
        <v>210</v>
      </c>
      <c r="B18" s="135"/>
      <c r="C18" s="150"/>
      <c r="D18" s="134"/>
      <c r="E18" s="134"/>
      <c r="F18" s="134"/>
    </row>
    <row r="19" spans="1:14" ht="24.95" customHeight="1" thickBot="1">
      <c r="A19" s="114" t="s">
        <v>209</v>
      </c>
      <c r="B19" s="111"/>
      <c r="C19" s="151"/>
      <c r="D19" s="134"/>
      <c r="E19" s="134"/>
      <c r="F19" s="134"/>
      <c r="L19" s="39">
        <f>SUM(L2:L17)</f>
        <v>2049981.55</v>
      </c>
      <c r="M19" s="39"/>
      <c r="N19" s="39">
        <f>299997.3+999991+249997.75+249997.75+249997.75</f>
        <v>2049981.55</v>
      </c>
    </row>
    <row r="20" spans="1:14" ht="24.95" customHeight="1" thickBot="1">
      <c r="A20" s="114" t="s">
        <v>208</v>
      </c>
      <c r="B20" s="111"/>
      <c r="C20" s="151"/>
      <c r="D20" s="134"/>
      <c r="E20" s="134"/>
      <c r="F20" s="134"/>
    </row>
    <row r="21" spans="1:14" ht="24.95" customHeight="1" thickBot="1">
      <c r="A21" s="114" t="s">
        <v>207</v>
      </c>
      <c r="B21" s="111"/>
      <c r="C21" s="151"/>
      <c r="D21" s="134"/>
      <c r="E21" s="134"/>
      <c r="F21" s="134"/>
      <c r="L21" s="163">
        <f>314.84+3056.89+1005.42+926.03+636.07</f>
        <v>5939.2499999999991</v>
      </c>
    </row>
    <row r="22" spans="1:14" ht="24.95" customHeight="1" thickBot="1">
      <c r="A22" s="114" t="s">
        <v>206</v>
      </c>
      <c r="B22" s="111"/>
      <c r="C22" s="151"/>
      <c r="D22" s="134"/>
      <c r="E22" s="134"/>
      <c r="F22" s="134"/>
      <c r="L22" s="46">
        <f>4600.54+856.85+198</f>
        <v>5655.39</v>
      </c>
    </row>
    <row r="23" spans="1:14" ht="24.95" customHeight="1" thickBot="1">
      <c r="A23" s="114" t="s">
        <v>205</v>
      </c>
      <c r="B23" s="111">
        <v>854384.89</v>
      </c>
      <c r="C23" s="150"/>
      <c r="D23" s="115">
        <f>89722.75+354991.66+95206.57+104101.89+108747.52</f>
        <v>752770.39</v>
      </c>
      <c r="E23" s="134">
        <f t="shared" ref="E23:E32" si="0">C23+D23</f>
        <v>752770.39</v>
      </c>
      <c r="F23" s="134">
        <f>B23-E23</f>
        <v>101614.5</v>
      </c>
    </row>
    <row r="24" spans="1:14" ht="24.95" customHeight="1" thickBot="1">
      <c r="A24" s="114" t="s">
        <v>204</v>
      </c>
      <c r="B24" s="111"/>
      <c r="C24" s="151"/>
      <c r="D24" s="111"/>
      <c r="E24" s="134"/>
      <c r="F24" s="134"/>
      <c r="L24" s="46">
        <f>SUM(L19:L22)</f>
        <v>2061576.19</v>
      </c>
    </row>
    <row r="25" spans="1:14" ht="24.95" customHeight="1" thickBot="1">
      <c r="A25" s="114" t="s">
        <v>203</v>
      </c>
      <c r="B25" s="111"/>
      <c r="C25" s="151"/>
      <c r="D25" s="134"/>
      <c r="E25" s="134"/>
      <c r="F25" s="134"/>
    </row>
    <row r="26" spans="1:14" ht="24.95" customHeight="1" thickBot="1">
      <c r="A26" s="114" t="s">
        <v>202</v>
      </c>
      <c r="B26" s="111"/>
      <c r="C26" s="151"/>
      <c r="D26" s="111"/>
      <c r="E26" s="134"/>
      <c r="F26" s="111"/>
    </row>
    <row r="27" spans="1:14" ht="24.95" customHeight="1" thickBot="1">
      <c r="A27" s="114" t="s">
        <v>201</v>
      </c>
      <c r="B27" s="111"/>
      <c r="C27" s="151"/>
      <c r="D27" s="111"/>
      <c r="E27" s="134"/>
      <c r="F27" s="111"/>
      <c r="K27" s="46"/>
    </row>
    <row r="28" spans="1:14" ht="24.95" customHeight="1" thickBot="1">
      <c r="A28" s="114" t="s">
        <v>200</v>
      </c>
      <c r="B28" s="111"/>
      <c r="C28" s="151"/>
      <c r="D28" s="111"/>
      <c r="E28" s="134"/>
      <c r="F28" s="111"/>
    </row>
    <row r="29" spans="1:14" ht="24.95" customHeight="1" thickBot="1">
      <c r="A29" s="114" t="s">
        <v>199</v>
      </c>
      <c r="B29" s="111"/>
      <c r="C29" s="151"/>
      <c r="D29" s="111"/>
      <c r="E29" s="134"/>
      <c r="F29" s="111"/>
    </row>
    <row r="30" spans="1:14" ht="24.95" customHeight="1" thickBot="1">
      <c r="A30" s="114" t="s">
        <v>198</v>
      </c>
      <c r="B30" s="111"/>
      <c r="C30" s="151"/>
      <c r="D30" s="111"/>
      <c r="E30" s="134"/>
      <c r="F30" s="111"/>
    </row>
    <row r="31" spans="1:14" ht="24.95" customHeight="1" thickBot="1">
      <c r="A31" s="114" t="s">
        <v>197</v>
      </c>
      <c r="B31" s="111">
        <v>994</v>
      </c>
      <c r="C31" s="151"/>
      <c r="D31" s="115">
        <f>294.5+366+135.5+99+99</f>
        <v>994</v>
      </c>
      <c r="E31" s="134">
        <f t="shared" si="0"/>
        <v>994</v>
      </c>
      <c r="F31" s="134">
        <f>B31-E31</f>
        <v>0</v>
      </c>
    </row>
    <row r="32" spans="1:14" ht="24.95" customHeight="1" thickBot="1">
      <c r="A32" s="114" t="s">
        <v>196</v>
      </c>
      <c r="B32" s="111">
        <f>36677.22+68095.91+17609.27+17692.71+14117.05</f>
        <v>154192.16</v>
      </c>
      <c r="C32" s="151"/>
      <c r="D32" s="111">
        <f>87954.73+16818.4+17609.27+17692.71</f>
        <v>140075.11000000002</v>
      </c>
      <c r="E32" s="134">
        <f t="shared" si="0"/>
        <v>140075.11000000002</v>
      </c>
      <c r="F32" s="134">
        <f>B32-E32</f>
        <v>14117.049999999988</v>
      </c>
    </row>
    <row r="33" spans="1:12" ht="24.95" customHeight="1" thickBot="1">
      <c r="A33" s="114" t="s">
        <v>195</v>
      </c>
      <c r="B33" s="111"/>
      <c r="C33" s="111"/>
      <c r="D33" s="111"/>
      <c r="E33" s="134"/>
      <c r="F33" s="111"/>
    </row>
    <row r="34" spans="1:12" ht="24.95" customHeight="1" thickBot="1">
      <c r="A34" s="113" t="s">
        <v>194</v>
      </c>
      <c r="B34" s="152">
        <f>SUM(B17:B33)</f>
        <v>2436682.7400000002</v>
      </c>
      <c r="C34" s="152">
        <f>SUM(C17:C33)</f>
        <v>0</v>
      </c>
      <c r="D34" s="152">
        <f>SUM(D17:D33)</f>
        <v>1959878.3099999998</v>
      </c>
      <c r="E34" s="152">
        <f>SUM(E17:E33)</f>
        <v>1959878.3099999998</v>
      </c>
      <c r="F34" s="152">
        <f>SUM(F17:F33)</f>
        <v>476804.43000000011</v>
      </c>
      <c r="H34" s="46">
        <v>499995.5</v>
      </c>
      <c r="I34" s="148">
        <f>F34+H34</f>
        <v>976799.93000000017</v>
      </c>
    </row>
    <row r="36" spans="1:12">
      <c r="D36" s="147" t="s">
        <v>17</v>
      </c>
      <c r="E36" s="148">
        <f>B8-E34</f>
        <v>96876.560000000289</v>
      </c>
      <c r="F36" s="46"/>
    </row>
    <row r="38" spans="1:12">
      <c r="A38" s="163" t="s">
        <v>174</v>
      </c>
      <c r="E38" s="39">
        <v>99840.829999999987</v>
      </c>
    </row>
    <row r="39" spans="1:12">
      <c r="A39" s="163" t="s">
        <v>177</v>
      </c>
      <c r="E39" s="39">
        <v>1007.93</v>
      </c>
    </row>
    <row r="40" spans="1:12">
      <c r="A40" s="163" t="s">
        <v>255</v>
      </c>
      <c r="E40" s="39">
        <v>496.8</v>
      </c>
    </row>
    <row r="41" spans="1:12">
      <c r="A41" s="163" t="s">
        <v>175</v>
      </c>
      <c r="E41" s="39">
        <v>10900</v>
      </c>
    </row>
    <row r="42" spans="1:12">
      <c r="A42" s="163" t="s">
        <v>25</v>
      </c>
      <c r="E42" s="39">
        <v>0</v>
      </c>
    </row>
    <row r="43" spans="1:12">
      <c r="A43" s="163" t="s">
        <v>148</v>
      </c>
      <c r="E43" s="39">
        <v>122696.23</v>
      </c>
    </row>
    <row r="44" spans="1:12">
      <c r="A44" s="163" t="s">
        <v>219</v>
      </c>
      <c r="E44" s="39">
        <v>0</v>
      </c>
      <c r="J44" s="39">
        <f>520113.96+1056431.53+284492.23+286358.12+286570.18</f>
        <v>2433966.02</v>
      </c>
      <c r="L44" s="39">
        <f>224144.75+910084.41+236805.4+280879+307964.75</f>
        <v>1959878.31</v>
      </c>
    </row>
    <row r="45" spans="1:12">
      <c r="A45" s="163" t="s">
        <v>29</v>
      </c>
      <c r="E45" s="39">
        <v>15978.18</v>
      </c>
    </row>
    <row r="46" spans="1:12">
      <c r="A46" s="163" t="s">
        <v>31</v>
      </c>
      <c r="E46" s="39">
        <v>3944.25</v>
      </c>
    </row>
    <row r="47" spans="1:12">
      <c r="A47" s="163" t="s">
        <v>218</v>
      </c>
      <c r="E47" s="39">
        <v>2072.46</v>
      </c>
      <c r="G47" s="46"/>
    </row>
    <row r="48" spans="1:12">
      <c r="A48" s="163" t="s">
        <v>231</v>
      </c>
      <c r="E48" s="39">
        <v>0</v>
      </c>
    </row>
    <row r="49" spans="1:6">
      <c r="A49" s="163" t="s">
        <v>28</v>
      </c>
      <c r="E49" s="39">
        <v>0</v>
      </c>
    </row>
    <row r="50" spans="1:6">
      <c r="A50" s="163" t="s">
        <v>150</v>
      </c>
      <c r="E50" s="39">
        <v>0</v>
      </c>
    </row>
    <row r="51" spans="1:6">
      <c r="A51" s="163" t="s">
        <v>220</v>
      </c>
      <c r="E51" s="39">
        <v>0</v>
      </c>
    </row>
    <row r="52" spans="1:6">
      <c r="A52" s="163" t="s">
        <v>151</v>
      </c>
      <c r="E52" s="39">
        <v>30346.379999999997</v>
      </c>
    </row>
    <row r="53" spans="1:6">
      <c r="A53" s="163" t="s">
        <v>49</v>
      </c>
      <c r="E53" s="39">
        <v>0</v>
      </c>
    </row>
    <row r="54" spans="1:6">
      <c r="A54" s="163" t="s">
        <v>176</v>
      </c>
      <c r="E54" s="39">
        <v>17692.71</v>
      </c>
    </row>
    <row r="55" spans="1:6">
      <c r="A55" s="163" t="s">
        <v>43</v>
      </c>
      <c r="E55" s="39">
        <v>2889.98</v>
      </c>
    </row>
    <row r="56" spans="1:6">
      <c r="A56" s="163" t="s">
        <v>179</v>
      </c>
      <c r="E56" s="39">
        <v>0</v>
      </c>
    </row>
    <row r="57" spans="1:6">
      <c r="A57" s="163" t="s">
        <v>146</v>
      </c>
      <c r="E57" s="39">
        <v>0</v>
      </c>
    </row>
    <row r="58" spans="1:6">
      <c r="A58" s="163" t="s">
        <v>34</v>
      </c>
      <c r="E58" s="39">
        <v>0</v>
      </c>
    </row>
    <row r="59" spans="1:6">
      <c r="A59" s="163" t="s">
        <v>178</v>
      </c>
      <c r="E59" s="39">
        <v>0</v>
      </c>
    </row>
    <row r="60" spans="1:6">
      <c r="A60" s="163" t="s">
        <v>72</v>
      </c>
      <c r="E60" s="39">
        <v>99</v>
      </c>
    </row>
    <row r="61" spans="1:6">
      <c r="A61" s="163" t="s">
        <v>120</v>
      </c>
      <c r="E61" s="39">
        <v>0</v>
      </c>
    </row>
    <row r="62" spans="1:6">
      <c r="A62" s="163" t="s">
        <v>231</v>
      </c>
    </row>
    <row r="63" spans="1:6">
      <c r="A63" s="16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2056754.87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1748790.12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1748790.12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workbookViewId="0">
      <selection activeCell="C9" sqref="C9"/>
    </sheetView>
  </sheetViews>
  <sheetFormatPr defaultRowHeight="15"/>
  <cols>
    <col min="1" max="1" width="10.42578125" style="153" bestFit="1" customWidth="1"/>
    <col min="2" max="2" width="11.42578125" style="153" bestFit="1" customWidth="1"/>
    <col min="3" max="3" width="41.140625" style="153" bestFit="1" customWidth="1"/>
    <col min="4" max="4" width="12.42578125" style="74" bestFit="1" customWidth="1"/>
    <col min="5" max="5" width="13.28515625" style="153" bestFit="1" customWidth="1"/>
    <col min="6" max="6" width="12.42578125" style="153" bestFit="1" customWidth="1"/>
    <col min="7" max="7" width="45.140625" style="153" bestFit="1" customWidth="1"/>
    <col min="8" max="8" width="47" style="153" bestFit="1" customWidth="1"/>
    <col min="9" max="9" width="10" style="153" bestFit="1" customWidth="1"/>
    <col min="10" max="10" width="4.7109375" style="1" bestFit="1" customWidth="1"/>
    <col min="11" max="11" width="11" style="73" bestFit="1" customWidth="1"/>
    <col min="12" max="12" width="9.140625" style="153"/>
    <col min="13" max="13" width="13.28515625" style="153" bestFit="1" customWidth="1"/>
    <col min="14" max="16384" width="9.140625" style="153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264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145</v>
      </c>
      <c r="H10" s="7"/>
      <c r="I10" s="4"/>
      <c r="J10" s="19"/>
      <c r="K10" s="16"/>
    </row>
    <row r="11" spans="1:11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174</v>
      </c>
      <c r="H11" s="7" t="s">
        <v>223</v>
      </c>
      <c r="I11" s="4">
        <v>378</v>
      </c>
      <c r="J11" s="19">
        <v>7</v>
      </c>
      <c r="K11" s="16">
        <v>43438</v>
      </c>
    </row>
    <row r="12" spans="1:11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43472</v>
      </c>
      <c r="B15" s="4">
        <v>122018</v>
      </c>
      <c r="C15" s="4" t="s">
        <v>188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>
      <c r="A16" s="15">
        <v>43472</v>
      </c>
      <c r="B16" s="4">
        <v>309379</v>
      </c>
      <c r="C16" s="4" t="s">
        <v>172</v>
      </c>
      <c r="D16" s="77">
        <v>91413.15</v>
      </c>
      <c r="E16" s="5"/>
      <c r="F16" s="6">
        <f t="shared" si="0"/>
        <v>158485.6</v>
      </c>
      <c r="G16" s="9" t="s">
        <v>270</v>
      </c>
      <c r="H16" s="7"/>
      <c r="I16" s="4"/>
      <c r="J16" s="19"/>
      <c r="K16" s="16"/>
    </row>
    <row r="17" spans="1:11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149</v>
      </c>
      <c r="H17" s="7"/>
      <c r="I17" s="4"/>
      <c r="J17" s="19"/>
      <c r="K17" s="16"/>
    </row>
    <row r="18" spans="1:11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271</v>
      </c>
      <c r="H18" s="7" t="s">
        <v>154</v>
      </c>
      <c r="I18" s="4"/>
      <c r="J18" s="19"/>
      <c r="K18" s="16"/>
    </row>
    <row r="19" spans="1:11">
      <c r="A19" s="15">
        <v>43475</v>
      </c>
      <c r="B19" s="4">
        <v>491920</v>
      </c>
      <c r="C19" s="4" t="s">
        <v>216</v>
      </c>
      <c r="D19" s="77">
        <v>2282.58</v>
      </c>
      <c r="E19" s="5"/>
      <c r="F19" s="6">
        <f t="shared" si="0"/>
        <v>-2282.0399999999936</v>
      </c>
      <c r="G19" s="9" t="s">
        <v>218</v>
      </c>
      <c r="H19" s="7" t="s">
        <v>222</v>
      </c>
      <c r="I19" s="4">
        <v>889159211</v>
      </c>
      <c r="J19" s="19">
        <v>1</v>
      </c>
      <c r="K19" s="16"/>
    </row>
    <row r="20" spans="1:11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145</v>
      </c>
      <c r="H20" s="7"/>
      <c r="I20" s="4"/>
      <c r="J20" s="19"/>
      <c r="K20" s="16"/>
    </row>
    <row r="21" spans="1:11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272</v>
      </c>
      <c r="H21" s="7" t="s">
        <v>275</v>
      </c>
      <c r="I21" s="4">
        <v>1</v>
      </c>
      <c r="J21" s="19">
        <v>1</v>
      </c>
      <c r="K21" s="16"/>
    </row>
    <row r="22" spans="1:11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145</v>
      </c>
      <c r="H22" s="7"/>
      <c r="I22" s="4"/>
      <c r="J22" s="19"/>
      <c r="K22" s="16"/>
    </row>
    <row r="23" spans="1:11">
      <c r="A23" s="15">
        <v>43480</v>
      </c>
      <c r="B23" s="4">
        <v>106507</v>
      </c>
      <c r="C23" s="4" t="s">
        <v>173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223</v>
      </c>
      <c r="I23" s="4">
        <v>390</v>
      </c>
      <c r="J23" s="19">
        <v>8</v>
      </c>
      <c r="K23" s="16">
        <v>43467</v>
      </c>
    </row>
    <row r="24" spans="1:11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145</v>
      </c>
      <c r="H24" s="7"/>
      <c r="I24" s="4"/>
      <c r="J24" s="19"/>
      <c r="K24" s="16"/>
    </row>
    <row r="25" spans="1:11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174</v>
      </c>
      <c r="H25" s="7" t="s">
        <v>189</v>
      </c>
      <c r="I25" s="4">
        <v>5</v>
      </c>
      <c r="J25" s="19">
        <v>5</v>
      </c>
      <c r="K25" s="16">
        <v>43475</v>
      </c>
    </row>
    <row r="26" spans="1:11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174</v>
      </c>
      <c r="H26" s="7" t="s">
        <v>183</v>
      </c>
      <c r="I26" s="4">
        <v>13</v>
      </c>
      <c r="J26" s="19">
        <v>7</v>
      </c>
      <c r="K26" s="16">
        <v>43475</v>
      </c>
    </row>
    <row r="27" spans="1:11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174</v>
      </c>
      <c r="H27" s="7" t="s">
        <v>224</v>
      </c>
      <c r="I27" s="4">
        <v>17</v>
      </c>
      <c r="J27" s="19">
        <v>10</v>
      </c>
      <c r="K27" s="16">
        <v>43475</v>
      </c>
    </row>
    <row r="28" spans="1:11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174</v>
      </c>
      <c r="H28" s="7" t="s">
        <v>127</v>
      </c>
      <c r="I28" s="4">
        <v>57</v>
      </c>
      <c r="J28" s="19">
        <v>10</v>
      </c>
      <c r="K28" s="16">
        <v>43475</v>
      </c>
    </row>
    <row r="29" spans="1:11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174</v>
      </c>
      <c r="H29" s="7" t="s">
        <v>61</v>
      </c>
      <c r="I29" s="4">
        <v>25</v>
      </c>
      <c r="J29" s="19">
        <v>3</v>
      </c>
      <c r="K29" s="16">
        <v>43476</v>
      </c>
    </row>
    <row r="30" spans="1:11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145</v>
      </c>
      <c r="H30" s="7"/>
      <c r="I30" s="4"/>
      <c r="J30" s="19"/>
      <c r="K30" s="16"/>
    </row>
    <row r="31" spans="1:11">
      <c r="A31" s="15">
        <v>43481</v>
      </c>
      <c r="B31" s="4">
        <v>190116</v>
      </c>
      <c r="C31" s="4" t="s">
        <v>265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>
      <c r="A32" s="15">
        <v>43482</v>
      </c>
      <c r="B32" s="4">
        <v>190117</v>
      </c>
      <c r="C32" s="4" t="s">
        <v>265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174</v>
      </c>
      <c r="H33" s="7" t="s">
        <v>128</v>
      </c>
      <c r="I33" s="4">
        <v>29</v>
      </c>
      <c r="J33" s="19">
        <v>4</v>
      </c>
      <c r="K33" s="16">
        <v>43475</v>
      </c>
    </row>
    <row r="34" spans="1:11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145</v>
      </c>
      <c r="H34" s="7"/>
      <c r="I34" s="4"/>
      <c r="J34" s="19"/>
      <c r="K34" s="16"/>
    </row>
    <row r="35" spans="1:11" s="159" customFormat="1">
      <c r="A35" s="15">
        <v>43483</v>
      </c>
      <c r="B35" s="4">
        <v>286187</v>
      </c>
      <c r="C35" s="4" t="s">
        <v>266</v>
      </c>
      <c r="D35" s="77"/>
      <c r="E35" s="77">
        <v>31380.78</v>
      </c>
      <c r="F35" s="6">
        <f t="shared" si="0"/>
        <v>17962.109999999993</v>
      </c>
      <c r="G35" s="9" t="s">
        <v>145</v>
      </c>
      <c r="H35" s="7"/>
      <c r="I35" s="4"/>
      <c r="J35" s="19"/>
      <c r="K35" s="16"/>
    </row>
    <row r="36" spans="1:11" s="159" customFormat="1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256</v>
      </c>
      <c r="I36" s="4">
        <v>102</v>
      </c>
      <c r="J36" s="19">
        <v>1</v>
      </c>
      <c r="K36" s="16"/>
    </row>
    <row r="37" spans="1:11" s="159" customFormat="1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273</v>
      </c>
      <c r="H37" s="7" t="s">
        <v>257</v>
      </c>
      <c r="I37" s="4">
        <v>9</v>
      </c>
      <c r="J37" s="19">
        <v>1</v>
      </c>
      <c r="K37" s="16"/>
    </row>
    <row r="38" spans="1:11" s="159" customFormat="1">
      <c r="A38" s="15">
        <v>43483</v>
      </c>
      <c r="B38" s="4">
        <v>727215</v>
      </c>
      <c r="C38" s="4" t="s">
        <v>267</v>
      </c>
      <c r="D38" s="77"/>
      <c r="E38" s="77">
        <v>84.62</v>
      </c>
      <c r="F38" s="6">
        <f t="shared" si="0"/>
        <v>14677.349999999993</v>
      </c>
      <c r="G38" s="9" t="s">
        <v>145</v>
      </c>
      <c r="H38" s="7"/>
      <c r="I38" s="4"/>
      <c r="J38" s="19"/>
      <c r="K38" s="16"/>
    </row>
    <row r="39" spans="1:11" s="159" customFormat="1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256</v>
      </c>
      <c r="I39" s="4">
        <v>92</v>
      </c>
      <c r="J39" s="19">
        <v>1</v>
      </c>
      <c r="K39" s="16"/>
    </row>
    <row r="40" spans="1:11" s="159" customFormat="1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59" customFormat="1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59" customFormat="1">
      <c r="A42" s="15">
        <v>43483</v>
      </c>
      <c r="B42" s="4">
        <v>0</v>
      </c>
      <c r="C42" s="4" t="s">
        <v>268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59" customFormat="1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59" customFormat="1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255</v>
      </c>
      <c r="H44" s="7" t="s">
        <v>161</v>
      </c>
      <c r="I44" s="4">
        <v>1268835</v>
      </c>
      <c r="J44" s="19">
        <v>1</v>
      </c>
      <c r="K44" s="16">
        <v>43475</v>
      </c>
    </row>
    <row r="45" spans="1:11" s="159" customFormat="1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145</v>
      </c>
      <c r="H45" s="7"/>
      <c r="I45" s="4"/>
      <c r="J45" s="19"/>
      <c r="K45" s="16"/>
    </row>
    <row r="46" spans="1:11" s="159" customFormat="1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59" customFormat="1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59" customFormat="1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274</v>
      </c>
      <c r="H48" s="7" t="s">
        <v>276</v>
      </c>
      <c r="I48" s="4">
        <v>18879</v>
      </c>
      <c r="J48" s="19">
        <v>1</v>
      </c>
      <c r="K48" s="16">
        <v>43483</v>
      </c>
    </row>
    <row r="49" spans="1:11" s="159" customFormat="1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145</v>
      </c>
      <c r="H49" s="7"/>
      <c r="I49" s="4"/>
      <c r="J49" s="19"/>
      <c r="K49" s="16"/>
    </row>
    <row r="50" spans="1:11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234</v>
      </c>
      <c r="H50" s="7"/>
      <c r="I50" s="4"/>
      <c r="J50" s="19"/>
      <c r="K50" s="16"/>
    </row>
    <row r="51" spans="1:11">
      <c r="A51" s="15">
        <v>43494</v>
      </c>
      <c r="B51" s="4">
        <v>7</v>
      </c>
      <c r="C51" s="4" t="s">
        <v>269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176</v>
      </c>
      <c r="H52" s="7"/>
      <c r="I52" s="4"/>
      <c r="J52" s="19"/>
      <c r="K52" s="16"/>
    </row>
    <row r="53" spans="1:11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24" t="s">
        <v>12</v>
      </c>
      <c r="B55" s="325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299" t="s">
        <v>123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</row>
    <row r="61" spans="1:11" ht="18" customHeight="1"/>
    <row r="62" spans="1:11" ht="18" customHeight="1">
      <c r="A62" s="318" t="s">
        <v>277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19" t="s">
        <v>21</v>
      </c>
      <c r="B64" s="320"/>
      <c r="C64" s="320"/>
      <c r="D64" s="320"/>
      <c r="E64" s="321"/>
      <c r="F64" s="3"/>
      <c r="G64" s="322" t="s">
        <v>20</v>
      </c>
      <c r="H64" s="322"/>
      <c r="I64" s="322"/>
      <c r="J64" s="322"/>
      <c r="K64" s="24"/>
    </row>
    <row r="65" spans="1:11">
      <c r="A65" s="28" t="s">
        <v>233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147</v>
      </c>
      <c r="H65" s="26"/>
      <c r="I65" s="306">
        <f>SUMIF($G$8:$G$54,G65,$E$8:$E$54)</f>
        <v>249997.75</v>
      </c>
      <c r="J65" s="307"/>
      <c r="K65" s="24"/>
    </row>
    <row r="66" spans="1:11">
      <c r="A66" s="27" t="s">
        <v>149</v>
      </c>
      <c r="B66" s="63"/>
      <c r="C66" s="63"/>
      <c r="D66" s="80"/>
      <c r="E66" s="29">
        <f t="shared" si="1"/>
        <v>144817</v>
      </c>
      <c r="F66" s="3"/>
      <c r="G66" s="316" t="s">
        <v>145</v>
      </c>
      <c r="H66" s="317"/>
      <c r="I66" s="306">
        <f>SUMIF($G$8:$G$54,G66,$E$8:$E$54)</f>
        <v>148623.99</v>
      </c>
      <c r="J66" s="307"/>
      <c r="K66" s="24"/>
    </row>
    <row r="67" spans="1:11">
      <c r="A67" s="27" t="s">
        <v>174</v>
      </c>
      <c r="B67" s="63"/>
      <c r="C67" s="63"/>
      <c r="D67" s="80"/>
      <c r="E67" s="29">
        <f t="shared" si="1"/>
        <v>99249.040000000008</v>
      </c>
      <c r="F67" s="3"/>
      <c r="G67" s="316" t="s">
        <v>76</v>
      </c>
      <c r="H67" s="317"/>
      <c r="I67" s="306">
        <f>SUMIF($G$8:$G$54,G67,$E$8:$E$54)</f>
        <v>203.12</v>
      </c>
      <c r="J67" s="307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16" t="s">
        <v>234</v>
      </c>
      <c r="H68" s="317"/>
      <c r="I68" s="306">
        <f>SUMIF($G$8:$G$54,G68,$E$8:$E$54)</f>
        <v>99</v>
      </c>
      <c r="J68" s="307"/>
      <c r="K68" s="24"/>
    </row>
    <row r="69" spans="1:11">
      <c r="A69" s="27" t="s">
        <v>255</v>
      </c>
      <c r="B69" s="63"/>
      <c r="C69" s="63"/>
      <c r="D69" s="80"/>
      <c r="E69" s="29">
        <f t="shared" si="1"/>
        <v>496.8</v>
      </c>
      <c r="F69" s="3"/>
      <c r="G69" s="62"/>
      <c r="H69" s="26"/>
      <c r="I69" s="306">
        <f>SUMIF($G$8:$G$54,G69,$E$8:$E$54)</f>
        <v>0</v>
      </c>
      <c r="J69" s="307"/>
      <c r="K69" s="24"/>
    </row>
    <row r="70" spans="1:11">
      <c r="A70" s="27" t="s">
        <v>175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302">
        <f>SUM(I65:J69)</f>
        <v>398923.86</v>
      </c>
      <c r="J70" s="303"/>
      <c r="K70" s="61">
        <f>E55-I70</f>
        <v>0</v>
      </c>
    </row>
    <row r="71" spans="1:11">
      <c r="A71" s="27" t="s">
        <v>271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>
      <c r="A73" s="27" t="s">
        <v>270</v>
      </c>
      <c r="B73" s="63"/>
      <c r="C73" s="63"/>
      <c r="D73" s="80"/>
      <c r="E73" s="29">
        <f t="shared" si="1"/>
        <v>91413.15</v>
      </c>
      <c r="F73" s="3"/>
      <c r="G73" s="156" t="s">
        <v>19</v>
      </c>
      <c r="H73" s="157"/>
      <c r="I73" s="306">
        <f>'CEF Dezembro 2018'!I72:J72</f>
        <v>101697.87999999992</v>
      </c>
      <c r="J73" s="307"/>
    </row>
    <row r="74" spans="1:11">
      <c r="A74" s="27" t="s">
        <v>219</v>
      </c>
      <c r="B74" s="63"/>
      <c r="C74" s="63"/>
      <c r="D74" s="80"/>
      <c r="E74" s="29">
        <f t="shared" si="1"/>
        <v>0</v>
      </c>
      <c r="F74" s="3"/>
      <c r="G74" s="27" t="s">
        <v>149</v>
      </c>
      <c r="H74" s="157"/>
      <c r="I74" s="306">
        <f>SUMIF($G$8:$G$54,G74,$D$8:$D$54)</f>
        <v>144817</v>
      </c>
      <c r="J74" s="307"/>
    </row>
    <row r="75" spans="1:11">
      <c r="A75" s="27" t="s">
        <v>29</v>
      </c>
      <c r="B75" s="63"/>
      <c r="C75" s="63"/>
      <c r="D75" s="80"/>
      <c r="E75" s="29">
        <f t="shared" si="1"/>
        <v>0</v>
      </c>
      <c r="F75" s="3"/>
      <c r="G75" s="316" t="s">
        <v>145</v>
      </c>
      <c r="H75" s="317"/>
      <c r="I75" s="306">
        <f>-SUMIF($G$8:$G$54,G75,$E$8:$E$54)</f>
        <v>-148623.99</v>
      </c>
      <c r="J75" s="307"/>
    </row>
    <row r="76" spans="1:11">
      <c r="A76" s="27" t="s">
        <v>31</v>
      </c>
      <c r="B76" s="63"/>
      <c r="C76" s="63"/>
      <c r="D76" s="80"/>
      <c r="E76" s="29">
        <f t="shared" si="1"/>
        <v>5388.25</v>
      </c>
      <c r="F76" s="3"/>
      <c r="G76" s="156" t="s">
        <v>30</v>
      </c>
      <c r="H76" s="157"/>
      <c r="I76" s="306">
        <f>497.35+183.87</f>
        <v>681.22</v>
      </c>
      <c r="J76" s="307"/>
    </row>
    <row r="77" spans="1:11">
      <c r="A77" s="27" t="s">
        <v>273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314"/>
      <c r="J77" s="315"/>
    </row>
    <row r="78" spans="1:11">
      <c r="A78" s="27" t="s">
        <v>218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310">
        <f>SUM(I73:J76)</f>
        <v>98572.109999999928</v>
      </c>
      <c r="J78" s="311"/>
    </row>
    <row r="79" spans="1:11">
      <c r="A79" s="27" t="s">
        <v>231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58"/>
      <c r="K79" s="24"/>
    </row>
    <row r="80" spans="1:11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312"/>
      <c r="J80" s="313"/>
      <c r="K80" s="24"/>
    </row>
    <row r="81" spans="1:13">
      <c r="A81" s="27" t="s">
        <v>150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304">
        <f>'CEF Agosto 2018'!I79:J79</f>
        <v>0</v>
      </c>
      <c r="J81" s="305"/>
      <c r="K81" s="24"/>
    </row>
    <row r="82" spans="1:13">
      <c r="A82" s="27" t="s">
        <v>220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57"/>
      <c r="I82" s="306">
        <f>SUMIF($G$8:$G$54,G82,$E$8:$E$54)</f>
        <v>0</v>
      </c>
      <c r="J82" s="307"/>
      <c r="K82" s="24"/>
    </row>
    <row r="83" spans="1:13">
      <c r="A83" s="27" t="s">
        <v>151</v>
      </c>
      <c r="B83" s="41"/>
      <c r="C83" s="41"/>
      <c r="D83" s="80"/>
      <c r="E83" s="29">
        <f t="shared" si="1"/>
        <v>0</v>
      </c>
      <c r="F83" s="3"/>
      <c r="G83" s="156" t="s">
        <v>14</v>
      </c>
      <c r="H83" s="157"/>
      <c r="I83" s="306">
        <f>-SUMIF($G$8:$G$54,G83,$D$8:$D$54)</f>
        <v>0</v>
      </c>
      <c r="J83" s="307"/>
      <c r="K83" s="24"/>
    </row>
    <row r="84" spans="1:13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314"/>
      <c r="J84" s="315"/>
      <c r="K84" s="24"/>
    </row>
    <row r="85" spans="1:13">
      <c r="A85" s="27" t="s">
        <v>176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302">
        <f>SUM(I81:J84)</f>
        <v>0</v>
      </c>
      <c r="J85" s="303"/>
      <c r="K85" s="24"/>
    </row>
    <row r="86" spans="1:13">
      <c r="A86" s="27" t="s">
        <v>272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58"/>
      <c r="K86" s="24"/>
    </row>
    <row r="87" spans="1:13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274</v>
      </c>
      <c r="B88" s="63"/>
      <c r="C88" s="63"/>
      <c r="D88" s="80"/>
      <c r="E88" s="29">
        <f t="shared" si="1"/>
        <v>864</v>
      </c>
      <c r="F88" s="3"/>
      <c r="G88" s="156" t="s">
        <v>19</v>
      </c>
      <c r="H88" s="157"/>
      <c r="I88" s="308">
        <f>'CEF Dezembro 2018'!I86:J86</f>
        <v>64000</v>
      </c>
      <c r="J88" s="309"/>
      <c r="K88" s="24"/>
    </row>
    <row r="89" spans="1:13">
      <c r="A89" s="27" t="s">
        <v>179</v>
      </c>
      <c r="B89" s="63"/>
      <c r="C89" s="63"/>
      <c r="D89" s="80"/>
      <c r="E89" s="29">
        <f t="shared" si="1"/>
        <v>0</v>
      </c>
      <c r="F89" s="3"/>
      <c r="G89" s="156" t="s">
        <v>42</v>
      </c>
      <c r="H89" s="157"/>
      <c r="I89" s="291">
        <f>249997.75+16000</f>
        <v>265997.75</v>
      </c>
      <c r="J89" s="292"/>
      <c r="K89" s="24"/>
    </row>
    <row r="90" spans="1:13">
      <c r="A90" s="27" t="s">
        <v>146</v>
      </c>
      <c r="B90" s="63"/>
      <c r="C90" s="63"/>
      <c r="D90" s="80"/>
      <c r="E90" s="29">
        <f t="shared" si="1"/>
        <v>0</v>
      </c>
      <c r="F90" s="3"/>
      <c r="G90" s="156" t="s">
        <v>147</v>
      </c>
      <c r="H90" s="157"/>
      <c r="I90" s="306">
        <f>-SUMIF($G$8:$G$54,G90,$E$8:$E$54)</f>
        <v>-249997.75</v>
      </c>
      <c r="J90" s="307"/>
      <c r="K90" s="24"/>
    </row>
    <row r="91" spans="1:13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300"/>
      <c r="J91" s="301"/>
      <c r="K91" s="24"/>
    </row>
    <row r="92" spans="1:13">
      <c r="A92" s="27" t="s">
        <v>178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310">
        <f>SUM(I88:J91)</f>
        <v>80000</v>
      </c>
      <c r="J92" s="311"/>
      <c r="K92" s="24"/>
      <c r="M92" s="39"/>
    </row>
    <row r="93" spans="1:13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304">
        <f>'CEF Dezembro 2018'!I93:J93</f>
        <v>14117.050000000003</v>
      </c>
      <c r="J95" s="305"/>
      <c r="K95" s="24"/>
    </row>
    <row r="96" spans="1:13">
      <c r="A96" s="27"/>
      <c r="B96" s="63"/>
      <c r="C96" s="63"/>
      <c r="D96" s="80"/>
      <c r="E96" s="29">
        <f t="shared" si="2"/>
        <v>0</v>
      </c>
      <c r="F96" s="3"/>
      <c r="G96" s="27" t="s">
        <v>278</v>
      </c>
      <c r="H96" s="41"/>
      <c r="I96" s="306">
        <v>17561.73</v>
      </c>
      <c r="J96" s="307"/>
      <c r="K96" s="2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306"/>
      <c r="J97" s="307"/>
      <c r="K97" s="24"/>
    </row>
    <row r="98" spans="1:11">
      <c r="A98" s="27"/>
      <c r="B98" s="63"/>
      <c r="C98" s="63"/>
      <c r="D98" s="80"/>
      <c r="E98" s="29">
        <f t="shared" si="2"/>
        <v>0</v>
      </c>
      <c r="F98" s="3"/>
      <c r="G98" s="59" t="s">
        <v>176</v>
      </c>
      <c r="H98" s="60"/>
      <c r="I98" s="300">
        <f>-SUMIF($G$8:$G$54,G98,$D$8:$D$54)</f>
        <v>-14117.05</v>
      </c>
      <c r="J98" s="301"/>
      <c r="K98" s="24"/>
    </row>
    <row r="99" spans="1:11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302">
        <f>SUM(I95:J98)</f>
        <v>17561.730000000003</v>
      </c>
      <c r="J99" s="303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58"/>
      <c r="K100" s="24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279</v>
      </c>
      <c r="H102" s="157"/>
      <c r="I102" s="291">
        <v>29868.48</v>
      </c>
      <c r="J102" s="292"/>
      <c r="K102" s="24"/>
    </row>
    <row r="103" spans="1:11">
      <c r="A103" s="297" t="s">
        <v>22</v>
      </c>
      <c r="B103" s="298"/>
      <c r="C103" s="298"/>
      <c r="D103" s="81"/>
      <c r="E103" s="35">
        <f>SUM(E65:E101)</f>
        <v>398923.86000000004</v>
      </c>
      <c r="F103" s="3"/>
      <c r="G103" s="27"/>
      <c r="H103" s="157"/>
      <c r="I103" s="291"/>
      <c r="J103" s="292"/>
      <c r="K103" s="24"/>
    </row>
    <row r="104" spans="1:11">
      <c r="E104" s="46">
        <f>D55-E103</f>
        <v>0</v>
      </c>
      <c r="F104" s="3"/>
      <c r="G104" s="27"/>
      <c r="H104" s="41"/>
      <c r="I104" s="295"/>
      <c r="J104" s="296"/>
      <c r="K104" s="24"/>
    </row>
    <row r="105" spans="1:11">
      <c r="F105" s="3"/>
      <c r="G105" s="89" t="s">
        <v>18</v>
      </c>
      <c r="H105" s="88"/>
      <c r="I105" s="302">
        <f>SUM(I102:J104)</f>
        <v>29868.48</v>
      </c>
      <c r="J105" s="303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53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94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I65" sqref="I65:J6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0" width="9.140625" style="163"/>
    <col min="11" max="11" width="9.5703125" style="163" bestFit="1" customWidth="1"/>
    <col min="12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6" ht="15.75" thickBot="1"/>
    <row r="2" spans="1:6" ht="15.75" thickBot="1">
      <c r="A2" s="143" t="s">
        <v>251</v>
      </c>
      <c r="B2" s="128">
        <v>101697.88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681.22</v>
      </c>
      <c r="C4" s="41"/>
      <c r="D4" s="144"/>
      <c r="E4" s="41"/>
      <c r="F4" s="41"/>
    </row>
    <row r="5" spans="1:6" ht="15.75" thickBot="1">
      <c r="A5" s="143"/>
      <c r="B5" s="129">
        <v>302.12</v>
      </c>
      <c r="C5" s="41"/>
      <c r="D5" s="144"/>
      <c r="E5" s="41"/>
      <c r="F5" s="41"/>
    </row>
    <row r="6" spans="1:6">
      <c r="A6" s="143"/>
      <c r="B6" s="165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352678.97</v>
      </c>
      <c r="C8" s="41"/>
      <c r="D8" s="144">
        <f>B8-98572.11</f>
        <v>254106.86</v>
      </c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</row>
    <row r="15" spans="1:6" ht="67.5" customHeight="1">
      <c r="A15" s="327"/>
      <c r="B15" s="327"/>
      <c r="C15" s="131" t="s">
        <v>245</v>
      </c>
      <c r="D15" s="131" t="s">
        <v>247</v>
      </c>
      <c r="E15" s="131" t="s">
        <v>248</v>
      </c>
      <c r="F15" s="327"/>
    </row>
    <row r="16" spans="1:6" ht="15.75" thickBot="1">
      <c r="A16" s="328"/>
      <c r="B16" s="328"/>
      <c r="C16" s="132"/>
      <c r="D16" s="132"/>
      <c r="E16" s="133" t="s">
        <v>249</v>
      </c>
      <c r="F16" s="328"/>
    </row>
    <row r="17" spans="1:11" ht="24.95" customHeight="1" thickBot="1">
      <c r="A17" s="118" t="s">
        <v>211</v>
      </c>
      <c r="B17" s="134">
        <f>154370.29</f>
        <v>154370.29</v>
      </c>
      <c r="C17" s="149">
        <v>130875.98</v>
      </c>
      <c r="D17" s="115">
        <v>0</v>
      </c>
      <c r="E17" s="134">
        <f>C17+D17</f>
        <v>130875.98</v>
      </c>
      <c r="F17" s="134">
        <f>341812.15+6893.3+909.01+14877.62</f>
        <v>364492.08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106030</v>
      </c>
      <c r="C23" s="150">
        <f>105516.21+3216</f>
        <v>108732.21</v>
      </c>
      <c r="D23" s="115">
        <v>0</v>
      </c>
      <c r="E23" s="134">
        <f>C23+D23</f>
        <v>108732.21</v>
      </c>
      <c r="F23" s="134">
        <f>12159.8+2909.51+2476.9+109510</f>
        <v>127056.20999999999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f>179-0.5</f>
        <v>178.5</v>
      </c>
      <c r="C31" s="151"/>
      <c r="D31" s="115">
        <v>381.62</v>
      </c>
      <c r="E31" s="134">
        <f>C31+D31</f>
        <v>381.62</v>
      </c>
      <c r="F31" s="115"/>
    </row>
    <row r="32" spans="1:11" ht="24.95" customHeight="1" thickBot="1">
      <c r="A32" s="114" t="s">
        <v>196</v>
      </c>
      <c r="B32" s="111">
        <v>17561.73</v>
      </c>
      <c r="C32" s="151">
        <v>14117.05</v>
      </c>
      <c r="D32" s="111"/>
      <c r="E32" s="134">
        <f>C32+D32</f>
        <v>14117.05</v>
      </c>
      <c r="F32" s="115">
        <f>17561.73</f>
        <v>17561.73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278140.52</v>
      </c>
      <c r="C34" s="152">
        <f>SUM(C17:C33)</f>
        <v>253725.24</v>
      </c>
      <c r="D34" s="152">
        <f>SUM(D17:D33)</f>
        <v>381.62</v>
      </c>
      <c r="E34" s="152">
        <f>SUM(E17:E33)</f>
        <v>254106.86</v>
      </c>
      <c r="F34" s="152">
        <f>SUM(F17:F33)</f>
        <v>509110.02</v>
      </c>
      <c r="H34" s="46">
        <v>248997.75</v>
      </c>
      <c r="I34" s="148">
        <f>F34+H34</f>
        <v>758107.77</v>
      </c>
    </row>
    <row r="36" spans="1:9">
      <c r="B36" s="46">
        <f>B34-277280.3</f>
        <v>860.22000000003027</v>
      </c>
      <c r="D36" s="147" t="s">
        <v>17</v>
      </c>
      <c r="E36" s="148">
        <f>B8-E34</f>
        <v>98572.109999999986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144817</v>
      </c>
    </row>
    <row r="40" spans="1:9">
      <c r="A40" s="163" t="s">
        <v>174</v>
      </c>
      <c r="E40" s="39">
        <v>99249.040000000008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496.8</v>
      </c>
      <c r="F42" s="163" t="s">
        <v>193</v>
      </c>
    </row>
    <row r="43" spans="1:9">
      <c r="A43" s="163" t="s">
        <v>175</v>
      </c>
      <c r="E43" s="39">
        <v>10908.24</v>
      </c>
      <c r="F43" s="163" t="s">
        <v>193</v>
      </c>
    </row>
    <row r="44" spans="1:9">
      <c r="A44" s="163" t="s">
        <v>271</v>
      </c>
      <c r="E44" s="39">
        <v>13668.06</v>
      </c>
      <c r="F44" s="163" t="s">
        <v>193</v>
      </c>
    </row>
    <row r="45" spans="1:9">
      <c r="A45" s="163" t="s">
        <v>25</v>
      </c>
      <c r="E45" s="39">
        <v>8589.27</v>
      </c>
      <c r="F45" s="163" t="s">
        <v>193</v>
      </c>
    </row>
    <row r="46" spans="1:9">
      <c r="A46" s="163" t="s">
        <v>270</v>
      </c>
      <c r="E46" s="39">
        <v>91413.15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0</v>
      </c>
    </row>
    <row r="49" spans="1:7">
      <c r="A49" s="163" t="s">
        <v>31</v>
      </c>
      <c r="E49" s="39">
        <v>5388.25</v>
      </c>
      <c r="F49" s="163" t="s">
        <v>193</v>
      </c>
    </row>
    <row r="50" spans="1:7">
      <c r="A50" s="163" t="s">
        <v>273</v>
      </c>
      <c r="E50" s="39">
        <v>971.85</v>
      </c>
      <c r="F50" s="163" t="s">
        <v>193</v>
      </c>
    </row>
    <row r="51" spans="1:7">
      <c r="A51" s="163" t="s">
        <v>218</v>
      </c>
      <c r="E51" s="39">
        <v>2282.58</v>
      </c>
      <c r="F51" s="163" t="s">
        <v>193</v>
      </c>
    </row>
    <row r="52" spans="1:7">
      <c r="A52" s="163" t="s">
        <v>231</v>
      </c>
      <c r="E52" s="39">
        <v>0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0</v>
      </c>
    </row>
    <row r="55" spans="1:7">
      <c r="A55" s="163" t="s">
        <v>220</v>
      </c>
      <c r="E55" s="39">
        <v>0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14117.05</v>
      </c>
      <c r="F58" s="163" t="s">
        <v>193</v>
      </c>
    </row>
    <row r="59" spans="1:7">
      <c r="A59" s="163" t="s">
        <v>272</v>
      </c>
      <c r="E59" s="39">
        <v>412.21</v>
      </c>
      <c r="F59" s="163" t="s">
        <v>193</v>
      </c>
    </row>
    <row r="60" spans="1:7">
      <c r="A60" s="163" t="s">
        <v>43</v>
      </c>
      <c r="E60" s="39">
        <v>3012.74</v>
      </c>
      <c r="F60" s="163" t="s">
        <v>193</v>
      </c>
    </row>
    <row r="61" spans="1:7">
      <c r="A61" s="163" t="s">
        <v>274</v>
      </c>
      <c r="E61" s="39">
        <v>864</v>
      </c>
      <c r="F61" s="163" t="s">
        <v>193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2352</v>
      </c>
      <c r="F64" s="163" t="s">
        <v>193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381.62</v>
      </c>
    </row>
    <row r="67" spans="1:6">
      <c r="A67" s="163" t="s">
        <v>120</v>
      </c>
      <c r="E67" s="46">
        <v>0</v>
      </c>
    </row>
    <row r="68" spans="1:6">
      <c r="A68" s="163" t="s">
        <v>233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254106.85999999996</v>
      </c>
    </row>
    <row r="72" spans="1:6" ht="15.75" thickBot="1">
      <c r="E72" s="46">
        <f>E70-C34</f>
        <v>381.61999999996624</v>
      </c>
    </row>
    <row r="73" spans="1:6" ht="23.25" thickBot="1">
      <c r="A73" s="154" t="s">
        <v>258</v>
      </c>
      <c r="B73" s="95">
        <f>B8</f>
        <v>352678.97</v>
      </c>
    </row>
    <row r="74" spans="1:6" ht="23.25" thickBot="1">
      <c r="A74" s="155" t="s">
        <v>259</v>
      </c>
      <c r="B74" s="98">
        <f>E70</f>
        <v>254106.85999999996</v>
      </c>
    </row>
    <row r="75" spans="1:6" ht="23.25" thickBot="1">
      <c r="A75" s="155" t="s">
        <v>260</v>
      </c>
      <c r="B75" s="98">
        <f>B73-B74</f>
        <v>98572.110000000015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98572.110000000015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workbookViewId="0">
      <selection activeCell="I65" sqref="I65:J65"/>
    </sheetView>
  </sheetViews>
  <sheetFormatPr defaultRowHeight="15"/>
  <cols>
    <col min="1" max="1" width="10.42578125" style="159" bestFit="1" customWidth="1"/>
    <col min="2" max="2" width="11.42578125" style="159" bestFit="1" customWidth="1"/>
    <col min="3" max="3" width="41.140625" style="159" bestFit="1" customWidth="1"/>
    <col min="4" max="4" width="12.42578125" style="74" bestFit="1" customWidth="1"/>
    <col min="5" max="5" width="13.28515625" style="159" bestFit="1" customWidth="1"/>
    <col min="6" max="6" width="12.42578125" style="159" bestFit="1" customWidth="1"/>
    <col min="7" max="7" width="45.140625" style="159" bestFit="1" customWidth="1"/>
    <col min="8" max="8" width="47" style="159" bestFit="1" customWidth="1"/>
    <col min="9" max="9" width="10" style="159" bestFit="1" customWidth="1"/>
    <col min="10" max="10" width="4.7109375" style="1" bestFit="1" customWidth="1"/>
    <col min="11" max="11" width="11" style="73" bestFit="1" customWidth="1"/>
    <col min="12" max="12" width="9.140625" style="159"/>
    <col min="13" max="13" width="13.28515625" style="159" bestFit="1" customWidth="1"/>
    <col min="14" max="16384" width="9.140625" style="15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280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174</v>
      </c>
      <c r="H12" s="7" t="s">
        <v>184</v>
      </c>
      <c r="I12" s="4">
        <v>14</v>
      </c>
      <c r="J12" s="19">
        <v>7</v>
      </c>
      <c r="K12" s="16">
        <v>43476</v>
      </c>
    </row>
    <row r="13" spans="1:11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43501</v>
      </c>
      <c r="B14" s="4">
        <v>12019</v>
      </c>
      <c r="C14" s="4" t="s">
        <v>188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147</v>
      </c>
      <c r="H16" s="7"/>
      <c r="I16" s="4"/>
      <c r="J16" s="19"/>
      <c r="K16" s="16"/>
    </row>
    <row r="17" spans="1:11">
      <c r="A17" s="15">
        <v>43502</v>
      </c>
      <c r="B17" s="4">
        <v>309379</v>
      </c>
      <c r="C17" s="4" t="s">
        <v>172</v>
      </c>
      <c r="D17" s="77">
        <v>86187.23</v>
      </c>
      <c r="E17" s="5"/>
      <c r="F17" s="6">
        <f t="shared" si="0"/>
        <v>1130.7900000000081</v>
      </c>
      <c r="G17" s="9" t="s">
        <v>270</v>
      </c>
      <c r="H17" s="7"/>
      <c r="I17" s="4"/>
      <c r="J17" s="19"/>
      <c r="K17" s="16"/>
    </row>
    <row r="18" spans="1:11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147</v>
      </c>
      <c r="H18" s="7"/>
      <c r="I18" s="4"/>
      <c r="J18" s="19"/>
      <c r="K18" s="16"/>
    </row>
    <row r="19" spans="1:11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234</v>
      </c>
      <c r="H19" s="7"/>
      <c r="I19" s="4"/>
      <c r="J19" s="19"/>
      <c r="K19" s="16"/>
    </row>
    <row r="20" spans="1:11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145</v>
      </c>
      <c r="H21" s="7"/>
      <c r="I21" s="4"/>
      <c r="J21" s="19"/>
      <c r="K21" s="16"/>
    </row>
    <row r="22" spans="1:11">
      <c r="A22" s="15">
        <v>43507</v>
      </c>
      <c r="B22" s="4">
        <v>966433</v>
      </c>
      <c r="C22" s="4" t="s">
        <v>216</v>
      </c>
      <c r="D22" s="77">
        <v>2476.9</v>
      </c>
      <c r="E22" s="5"/>
      <c r="F22" s="6">
        <f t="shared" si="0"/>
        <v>2.9103830456733704E-11</v>
      </c>
      <c r="G22" s="9" t="s">
        <v>218</v>
      </c>
      <c r="H22" s="7" t="s">
        <v>222</v>
      </c>
      <c r="I22" s="4">
        <v>889173850</v>
      </c>
      <c r="J22" s="19">
        <v>1</v>
      </c>
      <c r="K22" s="16"/>
    </row>
    <row r="23" spans="1:11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145</v>
      </c>
      <c r="H23" s="7"/>
      <c r="I23" s="4"/>
      <c r="J23" s="19"/>
      <c r="K23" s="16"/>
    </row>
    <row r="24" spans="1:11">
      <c r="A24" s="15">
        <v>43508</v>
      </c>
      <c r="B24" s="4">
        <v>7</v>
      </c>
      <c r="C24" s="4" t="s">
        <v>269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174</v>
      </c>
      <c r="H25" s="7" t="s">
        <v>127</v>
      </c>
      <c r="I25" s="4">
        <v>60</v>
      </c>
      <c r="J25" s="19">
        <v>13</v>
      </c>
      <c r="K25" s="16">
        <v>43509</v>
      </c>
    </row>
    <row r="26" spans="1:11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174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174</v>
      </c>
      <c r="H27" s="7" t="s">
        <v>128</v>
      </c>
      <c r="I27" s="4">
        <v>30</v>
      </c>
      <c r="J27" s="19">
        <v>5</v>
      </c>
      <c r="K27" s="16">
        <v>43503</v>
      </c>
    </row>
    <row r="28" spans="1:11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174</v>
      </c>
      <c r="H28" s="7" t="s">
        <v>224</v>
      </c>
      <c r="I28" s="4">
        <v>18</v>
      </c>
      <c r="J28" s="19">
        <v>11</v>
      </c>
      <c r="K28" s="16">
        <v>43503</v>
      </c>
    </row>
    <row r="29" spans="1:11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174</v>
      </c>
      <c r="H29" s="7" t="s">
        <v>183</v>
      </c>
      <c r="I29" s="4">
        <v>14</v>
      </c>
      <c r="J29" s="19">
        <v>8</v>
      </c>
      <c r="K29" s="16">
        <v>43503</v>
      </c>
    </row>
    <row r="30" spans="1:11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174</v>
      </c>
      <c r="H30" s="7" t="s">
        <v>180</v>
      </c>
      <c r="I30" s="4">
        <v>44</v>
      </c>
      <c r="J30" s="19">
        <v>8</v>
      </c>
      <c r="K30" s="16">
        <v>43483</v>
      </c>
    </row>
    <row r="31" spans="1:11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174</v>
      </c>
      <c r="H31" s="7" t="s">
        <v>61</v>
      </c>
      <c r="I31" s="4">
        <v>28</v>
      </c>
      <c r="J31" s="19">
        <v>4</v>
      </c>
      <c r="K31" s="16">
        <v>43503</v>
      </c>
    </row>
    <row r="32" spans="1:11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145</v>
      </c>
      <c r="H32" s="7"/>
      <c r="I32" s="4"/>
      <c r="J32" s="19"/>
      <c r="K32" s="16"/>
    </row>
    <row r="33" spans="1:11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145</v>
      </c>
      <c r="H33" s="7"/>
      <c r="I33" s="4"/>
      <c r="J33" s="19"/>
      <c r="K33" s="16"/>
    </row>
    <row r="34" spans="1:11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174</v>
      </c>
      <c r="H34" s="7" t="s">
        <v>189</v>
      </c>
      <c r="I34" s="4">
        <v>6</v>
      </c>
      <c r="J34" s="19">
        <v>6</v>
      </c>
      <c r="K34" s="16">
        <v>43508</v>
      </c>
    </row>
    <row r="35" spans="1:11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145</v>
      </c>
      <c r="H35" s="7"/>
      <c r="I35" s="4"/>
      <c r="J35" s="19"/>
      <c r="K35" s="16"/>
    </row>
    <row r="36" spans="1:11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282</v>
      </c>
      <c r="H36" s="7" t="s">
        <v>256</v>
      </c>
      <c r="I36" s="4">
        <v>1</v>
      </c>
      <c r="J36" s="19">
        <v>1</v>
      </c>
      <c r="K36" s="16"/>
    </row>
    <row r="37" spans="1:11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273</v>
      </c>
      <c r="H37" s="7" t="s">
        <v>256</v>
      </c>
      <c r="I37" s="4">
        <v>1</v>
      </c>
      <c r="J37" s="19">
        <v>1</v>
      </c>
      <c r="K37" s="16"/>
    </row>
    <row r="38" spans="1:11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273</v>
      </c>
      <c r="H39" s="7" t="s">
        <v>257</v>
      </c>
      <c r="I39" s="4">
        <v>1</v>
      </c>
      <c r="J39" s="19">
        <v>1</v>
      </c>
      <c r="K39" s="16"/>
    </row>
    <row r="40" spans="1:11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150</v>
      </c>
      <c r="H41" s="7" t="s">
        <v>161</v>
      </c>
      <c r="I41" s="4">
        <v>1288461</v>
      </c>
      <c r="J41" s="19">
        <v>1</v>
      </c>
      <c r="K41" s="16"/>
    </row>
    <row r="42" spans="1:11">
      <c r="A42" s="15">
        <v>43516</v>
      </c>
      <c r="B42" s="4">
        <v>126862</v>
      </c>
      <c r="C42" s="4" t="s">
        <v>281</v>
      </c>
      <c r="D42" s="77"/>
      <c r="E42" s="77">
        <v>20532.810000000001</v>
      </c>
      <c r="F42" s="6">
        <f t="shared" si="0"/>
        <v>20532.810000000001</v>
      </c>
      <c r="G42" s="9" t="s">
        <v>232</v>
      </c>
      <c r="H42" s="7"/>
      <c r="I42" s="4"/>
      <c r="J42" s="19"/>
      <c r="K42" s="16"/>
    </row>
    <row r="43" spans="1:11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220</v>
      </c>
      <c r="H43" s="7"/>
      <c r="I43" s="4"/>
      <c r="J43" s="19"/>
      <c r="K43" s="16"/>
    </row>
    <row r="44" spans="1:11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283</v>
      </c>
      <c r="H44" s="7" t="s">
        <v>284</v>
      </c>
      <c r="I44" s="4">
        <v>11928</v>
      </c>
      <c r="J44" s="19">
        <v>1</v>
      </c>
      <c r="K44" s="16">
        <v>43503</v>
      </c>
    </row>
    <row r="45" spans="1:11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283</v>
      </c>
      <c r="H45" s="7" t="s">
        <v>284</v>
      </c>
      <c r="I45" s="4">
        <v>11917</v>
      </c>
      <c r="J45" s="19">
        <v>1</v>
      </c>
      <c r="K45" s="16">
        <v>43501</v>
      </c>
    </row>
    <row r="46" spans="1:11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283</v>
      </c>
      <c r="H46" s="7" t="s">
        <v>284</v>
      </c>
      <c r="I46" s="4">
        <v>11929</v>
      </c>
      <c r="J46" s="19">
        <v>1</v>
      </c>
      <c r="K46" s="16">
        <v>43503</v>
      </c>
    </row>
    <row r="47" spans="1:11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283</v>
      </c>
      <c r="H47" s="7" t="s">
        <v>284</v>
      </c>
      <c r="I47" s="4">
        <v>11915</v>
      </c>
      <c r="J47" s="19">
        <v>1</v>
      </c>
      <c r="K47" s="16">
        <v>43501</v>
      </c>
    </row>
    <row r="48" spans="1:11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175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24" t="s">
        <v>12</v>
      </c>
      <c r="B52" s="325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299" t="s">
        <v>123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1" ht="18" customHeight="1"/>
    <row r="59" spans="1:11" ht="18" customHeight="1">
      <c r="A59" s="318" t="s">
        <v>285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19" t="s">
        <v>21</v>
      </c>
      <c r="B61" s="320"/>
      <c r="C61" s="320"/>
      <c r="D61" s="320"/>
      <c r="E61" s="321"/>
      <c r="F61" s="3"/>
      <c r="G61" s="322" t="s">
        <v>20</v>
      </c>
      <c r="H61" s="322"/>
      <c r="I61" s="322"/>
      <c r="J61" s="322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06">
        <f>SUMIF($G$8:$G$51,G62,$E$8:$E$51)</f>
        <v>313997.32</v>
      </c>
      <c r="J62" s="307"/>
      <c r="K62" s="24"/>
    </row>
    <row r="63" spans="1:11">
      <c r="A63" s="27" t="s">
        <v>149</v>
      </c>
      <c r="B63" s="63"/>
      <c r="C63" s="63"/>
      <c r="D63" s="80"/>
      <c r="E63" s="29">
        <f t="shared" si="1"/>
        <v>227909.09</v>
      </c>
      <c r="F63" s="3"/>
      <c r="G63" s="316" t="s">
        <v>145</v>
      </c>
      <c r="H63" s="317"/>
      <c r="I63" s="306">
        <f>SUMIF($G$8:$G$51,G63,$E$8:$E$51)</f>
        <v>157930.15</v>
      </c>
      <c r="J63" s="307"/>
      <c r="K63" s="24"/>
    </row>
    <row r="64" spans="1:11">
      <c r="A64" s="27" t="s">
        <v>174</v>
      </c>
      <c r="B64" s="63"/>
      <c r="C64" s="63"/>
      <c r="D64" s="80"/>
      <c r="E64" s="29">
        <f t="shared" si="1"/>
        <v>96067.409999999989</v>
      </c>
      <c r="F64" s="3"/>
      <c r="G64" s="316" t="s">
        <v>232</v>
      </c>
      <c r="H64" s="317"/>
      <c r="I64" s="306">
        <f>SUMIF($G$8:$G$51,G64,$E$8:$E$51)</f>
        <v>20532.810000000001</v>
      </c>
      <c r="J64" s="307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16" t="s">
        <v>234</v>
      </c>
      <c r="H65" s="317"/>
      <c r="I65" s="306">
        <f>SUMIF($G$8:$G$51,G65,$E$8:$E$51)</f>
        <v>99</v>
      </c>
      <c r="J65" s="307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06">
        <f>SUMIF($G$8:$G$51,G66,$E$8:$E$51)</f>
        <v>0</v>
      </c>
      <c r="J66" s="307"/>
      <c r="K66" s="24"/>
    </row>
    <row r="67" spans="1:11">
      <c r="A67" s="27" t="s">
        <v>175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302">
        <f>SUM(I62:J66)</f>
        <v>492559.27999999997</v>
      </c>
      <c r="J67" s="303"/>
      <c r="K67" s="61">
        <f>E52-I67</f>
        <v>0</v>
      </c>
    </row>
    <row r="68" spans="1:11">
      <c r="A68" s="27" t="s">
        <v>271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>
      <c r="A70" s="27" t="s">
        <v>270</v>
      </c>
      <c r="B70" s="63"/>
      <c r="C70" s="63"/>
      <c r="D70" s="80"/>
      <c r="E70" s="29">
        <f t="shared" si="1"/>
        <v>86187.23</v>
      </c>
      <c r="F70" s="3"/>
      <c r="G70" s="160" t="s">
        <v>19</v>
      </c>
      <c r="H70" s="161"/>
      <c r="I70" s="306">
        <f>'CEF Janeiro 2019'!I78:J78</f>
        <v>98572.109999999928</v>
      </c>
      <c r="J70" s="307"/>
    </row>
    <row r="71" spans="1:11">
      <c r="A71" s="27" t="s">
        <v>219</v>
      </c>
      <c r="B71" s="63"/>
      <c r="C71" s="63"/>
      <c r="D71" s="80"/>
      <c r="E71" s="29">
        <f t="shared" si="1"/>
        <v>0</v>
      </c>
      <c r="F71" s="3"/>
      <c r="G71" s="27" t="s">
        <v>149</v>
      </c>
      <c r="H71" s="161"/>
      <c r="I71" s="306">
        <f>SUMIF($G$8:$G$51,G71,$D$8:$D$51)</f>
        <v>227909.09</v>
      </c>
      <c r="J71" s="307"/>
    </row>
    <row r="72" spans="1:11">
      <c r="A72" s="27" t="s">
        <v>29</v>
      </c>
      <c r="B72" s="63"/>
      <c r="C72" s="63"/>
      <c r="D72" s="80"/>
      <c r="E72" s="29">
        <f t="shared" si="1"/>
        <v>7262.02</v>
      </c>
      <c r="F72" s="3"/>
      <c r="G72" s="316" t="s">
        <v>145</v>
      </c>
      <c r="H72" s="317"/>
      <c r="I72" s="306">
        <f>-SUMIF($G$8:$G$51,G72,$E$8:$E$51)</f>
        <v>-157930.15</v>
      </c>
      <c r="J72" s="307"/>
    </row>
    <row r="73" spans="1:11">
      <c r="A73" s="27" t="s">
        <v>282</v>
      </c>
      <c r="B73" s="63"/>
      <c r="C73" s="63"/>
      <c r="D73" s="80"/>
      <c r="E73" s="29">
        <f t="shared" si="1"/>
        <v>2987.9500000000003</v>
      </c>
      <c r="F73" s="3"/>
      <c r="G73" s="160" t="s">
        <v>30</v>
      </c>
      <c r="H73" s="161"/>
      <c r="I73" s="306">
        <v>843.99</v>
      </c>
      <c r="J73" s="307"/>
    </row>
    <row r="74" spans="1:11">
      <c r="A74" s="27" t="s">
        <v>273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314"/>
      <c r="J74" s="315"/>
    </row>
    <row r="75" spans="1:11">
      <c r="A75" s="27" t="s">
        <v>218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310">
        <f>SUM(I70:J73)</f>
        <v>169395.03999999995</v>
      </c>
      <c r="J75" s="311"/>
    </row>
    <row r="76" spans="1:11">
      <c r="A76" s="27" t="s">
        <v>283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62"/>
      <c r="K76" s="24"/>
    </row>
    <row r="77" spans="1:11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12"/>
      <c r="J77" s="313"/>
      <c r="K77" s="24"/>
    </row>
    <row r="78" spans="1:11">
      <c r="A78" s="27" t="s">
        <v>150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304">
        <f>'CEF Agosto 2018'!I79:J79</f>
        <v>0</v>
      </c>
      <c r="J78" s="305"/>
      <c r="K78" s="24"/>
    </row>
    <row r="79" spans="1:11">
      <c r="A79" s="27" t="s">
        <v>220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61"/>
      <c r="I79" s="306">
        <f>SUMIF($G$8:$G$51,G79,$E$8:$E$51)</f>
        <v>0</v>
      </c>
      <c r="J79" s="307"/>
      <c r="K79" s="24"/>
    </row>
    <row r="80" spans="1:11">
      <c r="A80" s="27" t="s">
        <v>151</v>
      </c>
      <c r="B80" s="41"/>
      <c r="C80" s="41"/>
      <c r="D80" s="80"/>
      <c r="E80" s="29">
        <f t="shared" si="1"/>
        <v>0</v>
      </c>
      <c r="F80" s="3"/>
      <c r="G80" s="160" t="s">
        <v>14</v>
      </c>
      <c r="H80" s="161"/>
      <c r="I80" s="306">
        <f>-SUMIF($G$8:$G$51,G80,$D$8:$D$51)</f>
        <v>0</v>
      </c>
      <c r="J80" s="307"/>
      <c r="K80" s="24"/>
    </row>
    <row r="81" spans="1:13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314"/>
      <c r="J81" s="315"/>
      <c r="K81" s="24"/>
    </row>
    <row r="82" spans="1:13">
      <c r="A82" s="27" t="s">
        <v>176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02">
        <f>SUM(I78:J81)</f>
        <v>0</v>
      </c>
      <c r="J82" s="303"/>
      <c r="K82" s="24"/>
    </row>
    <row r="83" spans="1:13">
      <c r="A83" s="27" t="s">
        <v>272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62"/>
      <c r="K83" s="24"/>
    </row>
    <row r="84" spans="1:13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274</v>
      </c>
      <c r="B85" s="63"/>
      <c r="C85" s="63"/>
      <c r="D85" s="80"/>
      <c r="E85" s="29">
        <f t="shared" si="1"/>
        <v>0</v>
      </c>
      <c r="F85" s="3"/>
      <c r="G85" s="160" t="s">
        <v>19</v>
      </c>
      <c r="H85" s="161"/>
      <c r="I85" s="308">
        <f>'CEF Janeiro 2019'!I92:J92</f>
        <v>80000</v>
      </c>
      <c r="J85" s="309"/>
      <c r="K85" s="24"/>
    </row>
    <row r="86" spans="1:13">
      <c r="A86" s="27" t="s">
        <v>179</v>
      </c>
      <c r="B86" s="63"/>
      <c r="C86" s="63"/>
      <c r="D86" s="80"/>
      <c r="E86" s="29">
        <f t="shared" si="1"/>
        <v>0</v>
      </c>
      <c r="F86" s="3"/>
      <c r="G86" s="160" t="s">
        <v>42</v>
      </c>
      <c r="H86" s="161"/>
      <c r="I86" s="291">
        <f>249997.75+16000</f>
        <v>265997.75</v>
      </c>
      <c r="J86" s="292"/>
      <c r="K86" s="24"/>
    </row>
    <row r="87" spans="1:13">
      <c r="A87" s="27" t="s">
        <v>146</v>
      </c>
      <c r="B87" s="63"/>
      <c r="C87" s="63"/>
      <c r="D87" s="80"/>
      <c r="E87" s="29">
        <f t="shared" si="1"/>
        <v>0</v>
      </c>
      <c r="F87" s="3"/>
      <c r="G87" s="160" t="s">
        <v>147</v>
      </c>
      <c r="H87" s="161"/>
      <c r="I87" s="306">
        <f>-SUMIF($G$8:$G$51,G87,$E$8:$E$51)</f>
        <v>-313997.32</v>
      </c>
      <c r="J87" s="307"/>
      <c r="K87" s="24"/>
    </row>
    <row r="88" spans="1:13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300"/>
      <c r="J88" s="301"/>
      <c r="K88" s="24"/>
    </row>
    <row r="89" spans="1:13">
      <c r="A89" s="27" t="s">
        <v>178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10">
        <f>SUM(I85:J88)</f>
        <v>32000.429999999993</v>
      </c>
      <c r="J89" s="311"/>
      <c r="K89" s="24"/>
      <c r="M89" s="39"/>
    </row>
    <row r="90" spans="1:13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04">
        <f>'CEF Janeiro 2019'!I99:J99</f>
        <v>17561.730000000003</v>
      </c>
      <c r="J92" s="305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 t="s">
        <v>286</v>
      </c>
      <c r="H93" s="41"/>
      <c r="I93" s="306">
        <v>18125.79</v>
      </c>
      <c r="J93" s="307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06"/>
      <c r="J94" s="307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00">
        <f>-SUMIF($G$8:$G$51,G95,$D$8:$D$51)</f>
        <v>0</v>
      </c>
      <c r="J95" s="301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02">
        <f>SUM(I92:J95)</f>
        <v>35687.520000000004</v>
      </c>
      <c r="J96" s="303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6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287</v>
      </c>
      <c r="H99" s="161"/>
      <c r="I99" s="291">
        <v>28215.52</v>
      </c>
      <c r="J99" s="292"/>
      <c r="K99" s="24"/>
    </row>
    <row r="100" spans="1:11">
      <c r="A100" s="297" t="s">
        <v>22</v>
      </c>
      <c r="B100" s="298"/>
      <c r="C100" s="298"/>
      <c r="D100" s="81"/>
      <c r="E100" s="35">
        <f>SUM(E62:E98)</f>
        <v>492559.28</v>
      </c>
      <c r="F100" s="3"/>
      <c r="G100" s="27"/>
      <c r="H100" s="161"/>
      <c r="I100" s="291"/>
      <c r="J100" s="292"/>
      <c r="K100" s="24"/>
    </row>
    <row r="101" spans="1:11">
      <c r="E101" s="46">
        <f>D52-E100</f>
        <v>0</v>
      </c>
      <c r="F101" s="3"/>
      <c r="G101" s="27"/>
      <c r="H101" s="41"/>
      <c r="I101" s="295"/>
      <c r="J101" s="296"/>
      <c r="K101" s="24"/>
    </row>
    <row r="102" spans="1:11">
      <c r="F102" s="3"/>
      <c r="G102" s="89" t="s">
        <v>18</v>
      </c>
      <c r="H102" s="88"/>
      <c r="I102" s="302">
        <f>SUM(I99:J101)</f>
        <v>28215.52</v>
      </c>
      <c r="J102" s="303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5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I65" sqref="I65:J6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98572.11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f>I5</f>
        <v>313997.32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843.99</v>
      </c>
      <c r="C4" s="41"/>
      <c r="D4" s="144"/>
      <c r="E4" s="41"/>
      <c r="F4" s="41"/>
      <c r="J4" s="125"/>
    </row>
    <row r="5" spans="1:10" ht="15.75" thickBot="1">
      <c r="A5" s="143"/>
      <c r="B5" s="129">
        <v>20631.810000000001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434045.23</v>
      </c>
      <c r="C8" s="165">
        <v>169395.04</v>
      </c>
      <c r="D8" s="144">
        <f>B8-C8</f>
        <v>264650.18999999994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</row>
    <row r="15" spans="1:10" ht="67.5" customHeight="1">
      <c r="A15" s="327"/>
      <c r="B15" s="327"/>
      <c r="C15" s="131" t="s">
        <v>245</v>
      </c>
      <c r="D15" s="131" t="s">
        <v>247</v>
      </c>
      <c r="E15" s="131" t="s">
        <v>248</v>
      </c>
      <c r="F15" s="327"/>
    </row>
    <row r="16" spans="1:10" ht="15.75" thickBot="1">
      <c r="A16" s="328"/>
      <c r="B16" s="328"/>
      <c r="C16" s="132"/>
      <c r="D16" s="132"/>
      <c r="E16" s="133" t="s">
        <v>249</v>
      </c>
      <c r="F16" s="328"/>
    </row>
    <row r="17" spans="1:13" ht="24.95" customHeight="1" thickBot="1">
      <c r="A17" s="118" t="s">
        <v>211</v>
      </c>
      <c r="B17" s="134">
        <f>157941.9</f>
        <v>157941.9</v>
      </c>
      <c r="C17" s="149">
        <v>119234</v>
      </c>
      <c r="D17" s="115"/>
      <c r="E17" s="166">
        <f>C17+D17</f>
        <v>119234</v>
      </c>
      <c r="F17" s="134">
        <f>381286.25+951.08+881.41+24094.94</f>
        <v>407213.68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>
        <v>20532.810000000001</v>
      </c>
      <c r="C22" s="151">
        <v>41065.620000000003</v>
      </c>
      <c r="D22" s="134"/>
      <c r="E22" s="166">
        <f t="shared" si="0"/>
        <v>41065.620000000003</v>
      </c>
      <c r="F22" s="134">
        <v>0</v>
      </c>
    </row>
    <row r="23" spans="1:13" ht="24.95" customHeight="1" thickBot="1">
      <c r="A23" s="114" t="s">
        <v>205</v>
      </c>
      <c r="B23" s="111">
        <v>99070</v>
      </c>
      <c r="C23" s="150">
        <v>104171.57</v>
      </c>
      <c r="D23" s="115"/>
      <c r="E23" s="166">
        <f t="shared" si="0"/>
        <v>104171.57</v>
      </c>
      <c r="F23" s="134">
        <f>3829.5+5347.75+3644.68+2346.21+101440</f>
        <v>116608.14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179</v>
      </c>
      <c r="C31" s="151"/>
      <c r="D31" s="115">
        <v>179</v>
      </c>
      <c r="E31" s="166">
        <f t="shared" si="0"/>
        <v>179</v>
      </c>
      <c r="F31" s="115">
        <v>35687.519999999997</v>
      </c>
    </row>
    <row r="32" spans="1:13" ht="24.95" customHeight="1" thickBot="1">
      <c r="A32" s="114" t="s">
        <v>196</v>
      </c>
      <c r="B32" s="111">
        <v>18125.79</v>
      </c>
      <c r="C32" s="151"/>
      <c r="D32" s="111"/>
      <c r="E32" s="166">
        <f t="shared" si="0"/>
        <v>0</v>
      </c>
      <c r="F32" s="115"/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295849.49999999994</v>
      </c>
      <c r="C34" s="152">
        <f>SUM(C17:C33)</f>
        <v>264471.19</v>
      </c>
      <c r="D34" s="152">
        <f>SUM(D17:D33)</f>
        <v>179</v>
      </c>
      <c r="E34" s="152">
        <f>SUM(E17:E33)</f>
        <v>264650.19</v>
      </c>
      <c r="F34" s="152">
        <f>SUM(F17:F33)</f>
        <v>559509.34</v>
      </c>
      <c r="H34" s="46">
        <v>0</v>
      </c>
      <c r="I34" s="148">
        <f>F34+H34</f>
        <v>559509.34</v>
      </c>
    </row>
    <row r="36" spans="1:9">
      <c r="B36" s="46">
        <f>B34-294826.51</f>
        <v>1022.9899999999325</v>
      </c>
      <c r="D36" s="147" t="s">
        <v>17</v>
      </c>
      <c r="E36" s="148">
        <f>B8-E34</f>
        <v>169395.03999999998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227909.09</v>
      </c>
    </row>
    <row r="40" spans="1:9">
      <c r="A40" s="163" t="s">
        <v>174</v>
      </c>
      <c r="E40" s="39">
        <v>96067.409999999989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0</v>
      </c>
    </row>
    <row r="43" spans="1:9">
      <c r="A43" s="163" t="s">
        <v>175</v>
      </c>
      <c r="E43" s="39">
        <v>22300</v>
      </c>
      <c r="F43" s="163" t="s">
        <v>193</v>
      </c>
    </row>
    <row r="44" spans="1:9">
      <c r="A44" s="163" t="s">
        <v>271</v>
      </c>
      <c r="E44" s="39">
        <v>0</v>
      </c>
    </row>
    <row r="45" spans="1:9">
      <c r="A45" s="163" t="s">
        <v>25</v>
      </c>
      <c r="E45" s="39">
        <v>0</v>
      </c>
    </row>
    <row r="46" spans="1:9">
      <c r="A46" s="163" t="s">
        <v>270</v>
      </c>
      <c r="E46" s="39">
        <v>86187.23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7262.02</v>
      </c>
      <c r="F48" s="163" t="s">
        <v>193</v>
      </c>
    </row>
    <row r="49" spans="1:7">
      <c r="A49" s="163" t="s">
        <v>282</v>
      </c>
      <c r="E49" s="39">
        <v>2987.9500000000003</v>
      </c>
      <c r="F49" s="163" t="s">
        <v>193</v>
      </c>
    </row>
    <row r="50" spans="1:7">
      <c r="A50" s="163" t="s">
        <v>273</v>
      </c>
      <c r="E50" s="39">
        <v>2717.75</v>
      </c>
      <c r="F50" s="163" t="s">
        <v>193</v>
      </c>
    </row>
    <row r="51" spans="1:7">
      <c r="A51" s="163" t="s">
        <v>218</v>
      </c>
      <c r="E51" s="39">
        <v>2476.9</v>
      </c>
      <c r="F51" s="163" t="s">
        <v>193</v>
      </c>
    </row>
    <row r="52" spans="1:7">
      <c r="A52" s="163" t="s">
        <v>283</v>
      </c>
      <c r="E52" s="39">
        <v>20532.810000000001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496.8</v>
      </c>
      <c r="F54" s="163" t="s">
        <v>193</v>
      </c>
    </row>
    <row r="55" spans="1:7">
      <c r="A55" s="163" t="s">
        <v>220</v>
      </c>
      <c r="E55" s="39">
        <v>20532.810000000001</v>
      </c>
      <c r="F55" s="163" t="s">
        <v>193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0</v>
      </c>
    </row>
    <row r="59" spans="1:7">
      <c r="A59" s="163" t="s">
        <v>272</v>
      </c>
      <c r="E59" s="39">
        <v>0</v>
      </c>
    </row>
    <row r="60" spans="1:7">
      <c r="A60" s="163" t="s">
        <v>43</v>
      </c>
      <c r="E60" s="39">
        <v>2909.51</v>
      </c>
      <c r="F60" s="163" t="s">
        <v>193</v>
      </c>
    </row>
    <row r="61" spans="1:7">
      <c r="A61" s="163" t="s">
        <v>274</v>
      </c>
      <c r="E61" s="39">
        <v>0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0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179</v>
      </c>
      <c r="F66" s="163" t="s">
        <v>193</v>
      </c>
    </row>
    <row r="67" spans="1:6">
      <c r="A67" s="163" t="s">
        <v>120</v>
      </c>
      <c r="E67" s="46">
        <v>0</v>
      </c>
    </row>
    <row r="68" spans="1:6">
      <c r="E68" s="46"/>
      <c r="F68" s="46"/>
    </row>
    <row r="69" spans="1:6">
      <c r="E69" s="46"/>
      <c r="F69" s="46"/>
    </row>
    <row r="70" spans="1:6">
      <c r="E70" s="46">
        <f>SUM(E38:E68)</f>
        <v>264650.18999999994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434045.23</v>
      </c>
    </row>
    <row r="74" spans="1:6" ht="23.25" thickBot="1">
      <c r="A74" s="155" t="s">
        <v>259</v>
      </c>
      <c r="B74" s="98">
        <f>E70</f>
        <v>264650.18999999994</v>
      </c>
    </row>
    <row r="75" spans="1:6" ht="23.25" thickBot="1">
      <c r="A75" s="155" t="s">
        <v>260</v>
      </c>
      <c r="B75" s="98">
        <f>B73-B74</f>
        <v>169395.04000000004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169395.04000000004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opLeftCell="A109"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124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>
      <c r="A105" s="324" t="s">
        <v>12</v>
      </c>
      <c r="B105" s="325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>
      <c r="A110" s="299" t="s">
        <v>123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</row>
    <row r="111" spans="1:11" ht="18" customHeight="1"/>
    <row r="112" spans="1:11" ht="18" customHeight="1">
      <c r="A112" s="318" t="s">
        <v>125</v>
      </c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</row>
    <row r="113" spans="1:11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>
      <c r="A114" s="319" t="s">
        <v>21</v>
      </c>
      <c r="B114" s="320"/>
      <c r="C114" s="320"/>
      <c r="D114" s="320"/>
      <c r="E114" s="321"/>
      <c r="F114" s="3"/>
      <c r="G114" s="322" t="s">
        <v>20</v>
      </c>
      <c r="H114" s="322"/>
      <c r="I114" s="322"/>
      <c r="J114" s="322"/>
      <c r="K114" s="24"/>
    </row>
    <row r="115" spans="1:11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306">
        <f>SUMIF($G$8:$G$104,G115,$E$8:$E$104)</f>
        <v>249997.75</v>
      </c>
      <c r="J115" s="307"/>
      <c r="K115" s="24"/>
    </row>
    <row r="116" spans="1:11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316" t="s">
        <v>74</v>
      </c>
      <c r="H116" s="317"/>
      <c r="I116" s="306">
        <f>SUMIF($G$8:$G$104,G116,$E$8:$E$104)</f>
        <v>115595.37000000001</v>
      </c>
      <c r="J116" s="307"/>
      <c r="K116" s="24"/>
    </row>
    <row r="117" spans="1:11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316" t="s">
        <v>121</v>
      </c>
      <c r="H117" s="317"/>
      <c r="I117" s="306">
        <f>SUMIF($G$8:$G$104,G117,$E$8:$E$104)</f>
        <v>80000</v>
      </c>
      <c r="J117" s="307"/>
      <c r="K117" s="24"/>
    </row>
    <row r="118" spans="1:11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316" t="s">
        <v>137</v>
      </c>
      <c r="H118" s="317"/>
      <c r="I118" s="306">
        <f>SUMIF($G$8:$G$104,G118,$E$8:$E$104)</f>
        <v>763.34</v>
      </c>
      <c r="J118" s="307"/>
      <c r="K118" s="24"/>
    </row>
    <row r="119" spans="1:11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306">
        <f>SUMIF($G$8:$G$104,G119,$E$8:$E$104)</f>
        <v>0</v>
      </c>
      <c r="J119" s="307"/>
      <c r="K119" s="24"/>
    </row>
    <row r="120" spans="1:11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302">
        <f>SUM(I115:J119)</f>
        <v>446356.46</v>
      </c>
      <c r="J120" s="303"/>
      <c r="K120" s="61">
        <f>E105-I120</f>
        <v>0</v>
      </c>
    </row>
    <row r="121" spans="1:11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306">
        <f>'CEF Abril 2018'!I101:J101</f>
        <v>16962.84</v>
      </c>
      <c r="J123" s="307"/>
    </row>
    <row r="124" spans="1:11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306">
        <f>SUMIF($G$8:$G$104,G124,$D$8:$D$104)</f>
        <v>174548.14</v>
      </c>
      <c r="J124" s="307"/>
    </row>
    <row r="125" spans="1:11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316" t="s">
        <v>74</v>
      </c>
      <c r="H125" s="317"/>
      <c r="I125" s="306">
        <f>-SUMIF($G$8:$G$104,G125,$E$8:$E$104)</f>
        <v>-115595.37000000001</v>
      </c>
      <c r="J125" s="307"/>
    </row>
    <row r="126" spans="1:11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306">
        <v>251.78</v>
      </c>
      <c r="J126" s="307"/>
    </row>
    <row r="127" spans="1:11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314"/>
      <c r="J127" s="315"/>
    </row>
    <row r="128" spans="1:11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310">
        <f>SUM(I123:J126)</f>
        <v>76167.39</v>
      </c>
      <c r="J128" s="311"/>
    </row>
    <row r="129" spans="1:13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>
      <c r="A130" s="49"/>
      <c r="B130" s="41"/>
      <c r="C130" s="41"/>
      <c r="D130" s="80"/>
      <c r="E130" s="84"/>
      <c r="F130" s="3"/>
      <c r="G130" s="53" t="s">
        <v>62</v>
      </c>
      <c r="H130" s="54"/>
      <c r="I130" s="312"/>
      <c r="J130" s="313"/>
      <c r="K130" s="24"/>
    </row>
    <row r="131" spans="1:13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304">
        <v>0</v>
      </c>
      <c r="J131" s="305"/>
      <c r="K131" s="24"/>
    </row>
    <row r="132" spans="1:13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306">
        <f>SUMIF($G$8:$G$104,G132,$E$8:$E$104)</f>
        <v>0</v>
      </c>
      <c r="J132" s="307"/>
      <c r="K132" s="24"/>
    </row>
    <row r="133" spans="1:13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306">
        <f>-SUMIF($G$8:$G$104,G133,$D$8:$D$104)</f>
        <v>0</v>
      </c>
      <c r="J133" s="307"/>
      <c r="K133" s="24"/>
    </row>
    <row r="134" spans="1:13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314"/>
      <c r="J134" s="315"/>
      <c r="K134" s="24"/>
    </row>
    <row r="135" spans="1:13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302">
        <f>SUM(I131:J134)</f>
        <v>0</v>
      </c>
      <c r="J135" s="303"/>
      <c r="K135" s="24"/>
    </row>
    <row r="136" spans="1:13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308">
        <f>'CEF Abril 2018'!I115:J115</f>
        <v>0</v>
      </c>
      <c r="J138" s="309"/>
      <c r="K138" s="24"/>
    </row>
    <row r="139" spans="1:13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291">
        <v>249997.75</v>
      </c>
      <c r="J139" s="292"/>
      <c r="K139" s="24"/>
    </row>
    <row r="140" spans="1:13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306">
        <f>-SUMIF($G$8:$G$104,G140,$E$8:$E$104)</f>
        <v>-249997.75</v>
      </c>
      <c r="J140" s="307"/>
      <c r="K140" s="24"/>
    </row>
    <row r="141" spans="1:13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300"/>
      <c r="J141" s="301"/>
      <c r="K141" s="24"/>
    </row>
    <row r="142" spans="1:13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310">
        <f>SUM(I138:J141)</f>
        <v>0</v>
      </c>
      <c r="J142" s="311"/>
      <c r="K142" s="24"/>
      <c r="M142" s="39"/>
    </row>
    <row r="143" spans="1:13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304">
        <f>'CEF Abril 2018'!I122:J122</f>
        <v>20221.349999999999</v>
      </c>
      <c r="J145" s="305"/>
      <c r="K145" s="24"/>
    </row>
    <row r="146" spans="1:11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306">
        <v>16455.87</v>
      </c>
      <c r="J146" s="307"/>
      <c r="K146" s="24"/>
    </row>
    <row r="147" spans="1:11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306"/>
      <c r="J147" s="307"/>
      <c r="K147" s="24"/>
    </row>
    <row r="148" spans="1:11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300">
        <f>SUMIF($G$8:$G$104,G148,$D$8:$D$104)</f>
        <v>0</v>
      </c>
      <c r="J148" s="301"/>
      <c r="K148" s="24"/>
    </row>
    <row r="149" spans="1:11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302">
        <f>SUM(I145:J148)</f>
        <v>36677.22</v>
      </c>
      <c r="J149" s="303"/>
      <c r="K149" s="24"/>
    </row>
    <row r="150" spans="1:11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>
      <c r="A152" s="30"/>
      <c r="B152" s="85"/>
      <c r="C152" s="85"/>
      <c r="D152" s="86"/>
      <c r="E152" s="87"/>
      <c r="F152" s="3"/>
      <c r="G152" s="82" t="s">
        <v>140</v>
      </c>
      <c r="H152" s="83"/>
      <c r="I152" s="291">
        <f>'CEF Abril 2018'!I129:J129</f>
        <v>29924.440000000002</v>
      </c>
      <c r="J152" s="292"/>
      <c r="K152" s="24"/>
    </row>
    <row r="153" spans="1:11">
      <c r="A153" s="297" t="s">
        <v>22</v>
      </c>
      <c r="B153" s="298"/>
      <c r="C153" s="298"/>
      <c r="D153" s="81"/>
      <c r="E153" s="35">
        <f>SUM(E115:E151)</f>
        <v>446356.45999999996</v>
      </c>
      <c r="F153" s="3"/>
      <c r="G153" s="27" t="s">
        <v>143</v>
      </c>
      <c r="H153" s="83"/>
      <c r="I153" s="291">
        <v>27662.49</v>
      </c>
      <c r="J153" s="292"/>
      <c r="K153" s="24"/>
    </row>
    <row r="154" spans="1:11">
      <c r="F154" s="3"/>
      <c r="G154" s="82"/>
      <c r="H154" s="83"/>
      <c r="I154" s="291"/>
      <c r="J154" s="292"/>
      <c r="K154" s="24"/>
    </row>
    <row r="155" spans="1:11">
      <c r="F155" s="3"/>
      <c r="G155" s="27"/>
      <c r="H155" s="41"/>
      <c r="I155" s="295"/>
      <c r="J155" s="296"/>
      <c r="K155" s="24"/>
    </row>
    <row r="156" spans="1:11">
      <c r="F156" s="3"/>
      <c r="G156" s="89" t="s">
        <v>18</v>
      </c>
      <c r="H156" s="88"/>
      <c r="I156" s="293">
        <f>SUM(I152:J155)</f>
        <v>57586.930000000008</v>
      </c>
      <c r="J156" s="294"/>
      <c r="K156" s="24"/>
    </row>
    <row r="157" spans="1:11">
      <c r="A157" s="27"/>
      <c r="B157" s="63"/>
      <c r="C157" s="63"/>
      <c r="D157" s="80"/>
      <c r="K157" s="24"/>
    </row>
    <row r="158" spans="1:11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>
      <c r="D159" s="72"/>
      <c r="F159" s="3"/>
      <c r="G159" s="45"/>
      <c r="H159" s="45"/>
      <c r="I159" s="69"/>
      <c r="J159" s="69"/>
      <c r="K159" s="24"/>
    </row>
    <row r="161" spans="5:5">
      <c r="E161" s="46"/>
    </row>
    <row r="162" spans="5:5">
      <c r="E162" s="46"/>
    </row>
    <row r="165" spans="5:5">
      <c r="E165" s="46"/>
    </row>
  </sheetData>
  <sortState ref="A115:E130">
    <sortCondition ref="A115"/>
  </sortState>
  <mergeCells count="47">
    <mergeCell ref="A110:K110"/>
    <mergeCell ref="A2:K2"/>
    <mergeCell ref="A4:K4"/>
    <mergeCell ref="A6:F6"/>
    <mergeCell ref="G6:K6"/>
    <mergeCell ref="A105:B105"/>
    <mergeCell ref="A112:K112"/>
    <mergeCell ref="A114:E114"/>
    <mergeCell ref="G114:J114"/>
    <mergeCell ref="I115:J115"/>
    <mergeCell ref="G116:H116"/>
    <mergeCell ref="I116:J116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workbookViewId="0">
      <selection activeCell="A65" sqref="A65:K65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140625" style="163"/>
    <col min="13" max="13" width="13.28515625" style="163" bestFit="1" customWidth="1"/>
    <col min="14" max="16384" width="9.140625" style="163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288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>
      <c r="A10" s="15">
        <v>43525</v>
      </c>
      <c r="B10" s="4">
        <v>348993</v>
      </c>
      <c r="C10" s="4" t="s">
        <v>173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223</v>
      </c>
      <c r="I10" s="4">
        <v>407</v>
      </c>
      <c r="J10" s="19">
        <v>9</v>
      </c>
      <c r="K10" s="16">
        <v>43501</v>
      </c>
    </row>
    <row r="11" spans="1:11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147</v>
      </c>
      <c r="H12" s="7"/>
      <c r="I12" s="4"/>
      <c r="J12" s="19"/>
      <c r="K12" s="16"/>
    </row>
    <row r="13" spans="1:11">
      <c r="A13" s="15">
        <v>43530</v>
      </c>
      <c r="B13" s="4">
        <v>22019</v>
      </c>
      <c r="C13" s="4" t="s">
        <v>188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147</v>
      </c>
      <c r="H14" s="7"/>
      <c r="I14" s="4"/>
      <c r="J14" s="19"/>
      <c r="K14" s="16"/>
    </row>
    <row r="15" spans="1:11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174</v>
      </c>
      <c r="H15" s="7" t="s">
        <v>180</v>
      </c>
      <c r="I15" s="4">
        <v>52</v>
      </c>
      <c r="J15" s="19">
        <v>9</v>
      </c>
      <c r="K15" s="16">
        <v>43521</v>
      </c>
    </row>
    <row r="16" spans="1:11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147</v>
      </c>
      <c r="H16" s="7"/>
      <c r="I16" s="4"/>
      <c r="J16" s="19"/>
      <c r="K16" s="16"/>
    </row>
    <row r="17" spans="1:11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272</v>
      </c>
      <c r="H17" s="7" t="s">
        <v>275</v>
      </c>
      <c r="I17" s="4">
        <v>3</v>
      </c>
      <c r="J17" s="19">
        <v>1</v>
      </c>
      <c r="K17" s="16"/>
    </row>
    <row r="18" spans="1:11">
      <c r="A18" s="15">
        <v>43531</v>
      </c>
      <c r="B18" s="4">
        <v>309379</v>
      </c>
      <c r="C18" s="4" t="s">
        <v>172</v>
      </c>
      <c r="D18" s="77">
        <v>90419.73</v>
      </c>
      <c r="E18" s="5"/>
      <c r="F18" s="6">
        <f t="shared" si="0"/>
        <v>173659.06</v>
      </c>
      <c r="G18" s="9" t="s">
        <v>270</v>
      </c>
      <c r="H18" s="7"/>
      <c r="I18" s="4"/>
      <c r="J18" s="19"/>
      <c r="K18" s="16"/>
    </row>
    <row r="19" spans="1:11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149</v>
      </c>
      <c r="H19" s="7"/>
      <c r="I19" s="4"/>
      <c r="J19" s="19"/>
      <c r="K19" s="16"/>
    </row>
    <row r="20" spans="1:11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271</v>
      </c>
      <c r="H20" s="7" t="s">
        <v>103</v>
      </c>
      <c r="I20" s="4"/>
      <c r="J20" s="19"/>
      <c r="K20" s="16"/>
    </row>
    <row r="21" spans="1:11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271</v>
      </c>
      <c r="H21" s="7" t="s">
        <v>78</v>
      </c>
      <c r="I21" s="4"/>
      <c r="J21" s="19"/>
      <c r="K21" s="16"/>
    </row>
    <row r="22" spans="1:11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271</v>
      </c>
      <c r="H22" s="7" t="s">
        <v>79</v>
      </c>
      <c r="I22" s="4"/>
      <c r="J22" s="19"/>
      <c r="K22" s="16"/>
    </row>
    <row r="23" spans="1:11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271</v>
      </c>
      <c r="H23" s="7" t="s">
        <v>94</v>
      </c>
      <c r="I23" s="4"/>
      <c r="J23" s="19"/>
      <c r="K23" s="16"/>
    </row>
    <row r="24" spans="1:11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271</v>
      </c>
      <c r="H25" s="7" t="s">
        <v>77</v>
      </c>
      <c r="I25" s="4"/>
      <c r="J25" s="19"/>
      <c r="K25" s="16"/>
    </row>
    <row r="26" spans="1:11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145</v>
      </c>
      <c r="H26" s="7"/>
      <c r="I26" s="4"/>
      <c r="J26" s="19"/>
      <c r="K26" s="16"/>
    </row>
    <row r="27" spans="1:11">
      <c r="A27" s="15">
        <v>43535</v>
      </c>
      <c r="B27" s="4">
        <v>937321</v>
      </c>
      <c r="C27" s="4" t="s">
        <v>216</v>
      </c>
      <c r="D27" s="77">
        <v>2346.21</v>
      </c>
      <c r="E27" s="5"/>
      <c r="F27" s="6">
        <f t="shared" si="0"/>
        <v>2624.76</v>
      </c>
      <c r="G27" s="9" t="s">
        <v>218</v>
      </c>
      <c r="H27" s="7" t="s">
        <v>222</v>
      </c>
      <c r="I27" s="4">
        <v>889187611</v>
      </c>
      <c r="J27" s="19">
        <v>1</v>
      </c>
      <c r="K27" s="16"/>
    </row>
    <row r="28" spans="1:11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177</v>
      </c>
      <c r="H28" s="7" t="s">
        <v>181</v>
      </c>
      <c r="I28" s="4">
        <v>1322626</v>
      </c>
      <c r="J28" s="19">
        <v>1</v>
      </c>
      <c r="K28" s="16"/>
    </row>
    <row r="29" spans="1:11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271</v>
      </c>
      <c r="H29" s="7" t="s">
        <v>95</v>
      </c>
      <c r="I29" s="4"/>
      <c r="J29" s="19"/>
      <c r="K29" s="16"/>
    </row>
    <row r="30" spans="1:11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145</v>
      </c>
      <c r="H30" s="7"/>
      <c r="I30" s="4"/>
      <c r="J30" s="19"/>
      <c r="K30" s="16"/>
    </row>
    <row r="31" spans="1:11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174</v>
      </c>
      <c r="H31" s="7" t="s">
        <v>224</v>
      </c>
      <c r="I31" s="4">
        <v>19</v>
      </c>
      <c r="J31" s="19">
        <v>12</v>
      </c>
      <c r="K31" s="16">
        <v>43531</v>
      </c>
    </row>
    <row r="32" spans="1:11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174</v>
      </c>
      <c r="H32" s="7" t="s">
        <v>61</v>
      </c>
      <c r="I32" s="4">
        <v>30</v>
      </c>
      <c r="J32" s="19">
        <v>5</v>
      </c>
      <c r="K32" s="16">
        <v>43532</v>
      </c>
    </row>
    <row r="33" spans="1:11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174</v>
      </c>
      <c r="H33" s="7" t="s">
        <v>127</v>
      </c>
      <c r="I33" s="4">
        <v>62</v>
      </c>
      <c r="J33" s="19">
        <v>12</v>
      </c>
      <c r="K33" s="16">
        <v>43535</v>
      </c>
    </row>
    <row r="34" spans="1:11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174</v>
      </c>
      <c r="H34" s="7" t="s">
        <v>183</v>
      </c>
      <c r="I34" s="4">
        <v>16</v>
      </c>
      <c r="J34" s="19">
        <v>9</v>
      </c>
      <c r="K34" s="16">
        <v>43535</v>
      </c>
    </row>
    <row r="35" spans="1:11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145</v>
      </c>
      <c r="H35" s="7"/>
      <c r="I35" s="4"/>
      <c r="J35" s="19"/>
      <c r="K35" s="16"/>
    </row>
    <row r="36" spans="1:11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174</v>
      </c>
      <c r="H36" s="7" t="s">
        <v>128</v>
      </c>
      <c r="I36" s="4">
        <v>32</v>
      </c>
      <c r="J36" s="19">
        <v>6</v>
      </c>
      <c r="K36" s="16">
        <v>43531</v>
      </c>
    </row>
    <row r="37" spans="1:11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174</v>
      </c>
      <c r="H37" s="7" t="s">
        <v>189</v>
      </c>
      <c r="I37" s="4">
        <v>7</v>
      </c>
      <c r="J37" s="19">
        <v>7</v>
      </c>
      <c r="K37" s="16">
        <v>43532</v>
      </c>
    </row>
    <row r="38" spans="1:11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289</v>
      </c>
      <c r="H39" s="7"/>
      <c r="I39" s="4"/>
      <c r="J39" s="19"/>
      <c r="K39" s="16"/>
    </row>
    <row r="40" spans="1:11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255</v>
      </c>
      <c r="H40" s="7" t="s">
        <v>161</v>
      </c>
      <c r="I40" s="4">
        <v>1325057</v>
      </c>
      <c r="J40" s="19">
        <v>1</v>
      </c>
      <c r="K40" s="16"/>
    </row>
    <row r="41" spans="1:11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145</v>
      </c>
      <c r="H41" s="7"/>
      <c r="I41" s="4"/>
      <c r="J41" s="19"/>
      <c r="K41" s="16"/>
    </row>
    <row r="42" spans="1:11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273</v>
      </c>
      <c r="H43" s="7" t="s">
        <v>257</v>
      </c>
      <c r="I43" s="4">
        <v>1</v>
      </c>
      <c r="J43" s="19">
        <v>1</v>
      </c>
      <c r="K43" s="16"/>
    </row>
    <row r="44" spans="1:11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282</v>
      </c>
      <c r="H45" s="7" t="s">
        <v>256</v>
      </c>
      <c r="I45" s="4">
        <v>11</v>
      </c>
      <c r="J45" s="19">
        <v>1</v>
      </c>
      <c r="K45" s="16"/>
    </row>
    <row r="46" spans="1:11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234</v>
      </c>
      <c r="H46" s="7"/>
      <c r="I46" s="4"/>
      <c r="J46" s="19"/>
      <c r="K46" s="16"/>
    </row>
    <row r="47" spans="1:11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221</v>
      </c>
      <c r="H47" s="7"/>
      <c r="I47" s="4"/>
      <c r="J47" s="19"/>
      <c r="K47" s="16"/>
    </row>
    <row r="48" spans="1:11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43549</v>
      </c>
      <c r="B49" s="4">
        <v>137075</v>
      </c>
      <c r="C49" s="4" t="s">
        <v>173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223</v>
      </c>
      <c r="I49" s="4">
        <v>417</v>
      </c>
      <c r="J49" s="19">
        <v>10</v>
      </c>
      <c r="K49" s="16">
        <v>43538</v>
      </c>
    </row>
    <row r="50" spans="1:11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145</v>
      </c>
      <c r="H51" s="7"/>
      <c r="I51" s="4"/>
      <c r="J51" s="19"/>
      <c r="K51" s="16"/>
    </row>
    <row r="52" spans="1:11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176</v>
      </c>
      <c r="H52" s="7"/>
      <c r="I52" s="4"/>
      <c r="J52" s="19"/>
      <c r="K52" s="16"/>
    </row>
    <row r="53" spans="1:11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145</v>
      </c>
      <c r="H53" s="7"/>
      <c r="I53" s="4"/>
      <c r="J53" s="19"/>
      <c r="K53" s="16"/>
    </row>
    <row r="54" spans="1:11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174</v>
      </c>
      <c r="H54" s="7" t="s">
        <v>276</v>
      </c>
      <c r="I54" s="4">
        <v>1</v>
      </c>
      <c r="J54" s="19">
        <v>1</v>
      </c>
      <c r="K54" s="16">
        <v>43546</v>
      </c>
    </row>
    <row r="55" spans="1:11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274</v>
      </c>
      <c r="H55" s="7" t="s">
        <v>290</v>
      </c>
      <c r="I55" s="4">
        <v>4264</v>
      </c>
      <c r="J55" s="19">
        <v>1</v>
      </c>
      <c r="K55" s="16">
        <v>43530</v>
      </c>
    </row>
    <row r="56" spans="1:11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24" t="s">
        <v>12</v>
      </c>
      <c r="B58" s="325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99" t="s">
        <v>123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</row>
    <row r="64" spans="1:11" ht="18" customHeight="1"/>
    <row r="65" spans="1:11" ht="18" customHeight="1">
      <c r="A65" s="318" t="s">
        <v>293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19" t="s">
        <v>21</v>
      </c>
      <c r="B67" s="320"/>
      <c r="C67" s="320"/>
      <c r="D67" s="320"/>
      <c r="E67" s="321"/>
      <c r="F67" s="3"/>
      <c r="G67" s="322" t="s">
        <v>20</v>
      </c>
      <c r="H67" s="322"/>
      <c r="I67" s="322"/>
      <c r="J67" s="322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06">
        <f>SUMIF($G$8:$G$57,G68,$E$8:$E$57)</f>
        <v>265997.75</v>
      </c>
      <c r="J68" s="307"/>
      <c r="K68" s="24"/>
    </row>
    <row r="69" spans="1:11">
      <c r="A69" s="27" t="s">
        <v>149</v>
      </c>
      <c r="B69" s="63"/>
      <c r="C69" s="63"/>
      <c r="D69" s="80"/>
      <c r="E69" s="29">
        <f t="shared" si="1"/>
        <v>170000</v>
      </c>
      <c r="F69" s="3"/>
      <c r="G69" s="316" t="s">
        <v>145</v>
      </c>
      <c r="H69" s="317"/>
      <c r="I69" s="306">
        <f>SUMIF($G$8:$G$57,G69,$E$8:$E$57)</f>
        <v>137513.94999999998</v>
      </c>
      <c r="J69" s="307"/>
      <c r="K69" s="24"/>
    </row>
    <row r="70" spans="1:11">
      <c r="A70" s="27" t="s">
        <v>174</v>
      </c>
      <c r="B70" s="63"/>
      <c r="C70" s="63"/>
      <c r="D70" s="80"/>
      <c r="E70" s="29">
        <f t="shared" si="1"/>
        <v>89892.639999999985</v>
      </c>
      <c r="F70" s="3"/>
      <c r="G70" s="316" t="s">
        <v>289</v>
      </c>
      <c r="H70" s="317"/>
      <c r="I70" s="306">
        <f>SUMIF($G$8:$G$57,G70,$E$8:$E$57)</f>
        <v>1383</v>
      </c>
      <c r="J70" s="307"/>
      <c r="K70" s="24"/>
    </row>
    <row r="71" spans="1:11">
      <c r="A71" s="27" t="s">
        <v>177</v>
      </c>
      <c r="B71" s="63"/>
      <c r="C71" s="63"/>
      <c r="D71" s="80"/>
      <c r="E71" s="29">
        <f t="shared" si="1"/>
        <v>951.08</v>
      </c>
      <c r="F71" s="3"/>
      <c r="G71" s="316" t="s">
        <v>234</v>
      </c>
      <c r="H71" s="317"/>
      <c r="I71" s="306">
        <f>SUMIF($G$8:$G$57,G71,$E$8:$E$57)</f>
        <v>99</v>
      </c>
      <c r="J71" s="307"/>
      <c r="K71" s="24"/>
    </row>
    <row r="72" spans="1:11">
      <c r="A72" s="27" t="s">
        <v>255</v>
      </c>
      <c r="B72" s="63"/>
      <c r="C72" s="63"/>
      <c r="D72" s="80"/>
      <c r="E72" s="29">
        <f t="shared" si="1"/>
        <v>469.2</v>
      </c>
      <c r="F72" s="3"/>
      <c r="G72" s="62"/>
      <c r="H72" s="26"/>
      <c r="I72" s="306">
        <f>SUMIF($G$8:$G$57,G72,$E$8:$E$57)</f>
        <v>0</v>
      </c>
      <c r="J72" s="307"/>
      <c r="K72" s="24"/>
    </row>
    <row r="73" spans="1:11">
      <c r="A73" s="27" t="s">
        <v>175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302">
        <f>SUM(I68:J72)</f>
        <v>404993.69999999995</v>
      </c>
      <c r="J73" s="303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67" t="s">
        <v>19</v>
      </c>
      <c r="H76" s="168"/>
      <c r="I76" s="306">
        <f>'CEF Fevereiro 2019'!I75:J75</f>
        <v>169395.03999999995</v>
      </c>
      <c r="J76" s="307"/>
    </row>
    <row r="77" spans="1:11">
      <c r="A77" s="27" t="s">
        <v>270</v>
      </c>
      <c r="B77" s="63"/>
      <c r="C77" s="63"/>
      <c r="D77" s="80"/>
      <c r="E77" s="29">
        <f t="shared" si="1"/>
        <v>90419.73</v>
      </c>
      <c r="F77" s="3"/>
      <c r="G77" s="27" t="s">
        <v>149</v>
      </c>
      <c r="H77" s="168"/>
      <c r="I77" s="306">
        <f>SUMIF($G$8:$G$57,G77,$D$8:$D$57)</f>
        <v>170000</v>
      </c>
      <c r="J77" s="307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16" t="s">
        <v>145</v>
      </c>
      <c r="H78" s="317"/>
      <c r="I78" s="306">
        <f>-SUMIF($G$8:$G$57,G78,$E$8:$E$57)</f>
        <v>-137513.94999999998</v>
      </c>
      <c r="J78" s="307"/>
    </row>
    <row r="79" spans="1:11">
      <c r="A79" s="27" t="s">
        <v>29</v>
      </c>
      <c r="B79" s="63"/>
      <c r="C79" s="63"/>
      <c r="D79" s="80"/>
      <c r="E79" s="29">
        <f t="shared" si="1"/>
        <v>7268.83</v>
      </c>
      <c r="F79" s="3"/>
      <c r="G79" s="167" t="s">
        <v>30</v>
      </c>
      <c r="H79" s="168"/>
      <c r="I79" s="306">
        <v>1016.73</v>
      </c>
      <c r="J79" s="307"/>
    </row>
    <row r="80" spans="1:11">
      <c r="A80" s="27" t="s">
        <v>282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314"/>
      <c r="J80" s="315"/>
    </row>
    <row r="81" spans="1:13">
      <c r="A81" s="27" t="s">
        <v>273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310">
        <f>SUM(I76:J79)</f>
        <v>202897.81999999995</v>
      </c>
      <c r="J81" s="311"/>
    </row>
    <row r="82" spans="1:13">
      <c r="A82" s="27" t="s">
        <v>218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69"/>
      <c r="K82" s="24"/>
    </row>
    <row r="83" spans="1:13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12"/>
      <c r="J83" s="313"/>
      <c r="K83" s="24"/>
    </row>
    <row r="84" spans="1:13">
      <c r="A84" s="27" t="s">
        <v>283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04">
        <f>'CEF Agosto 2018'!I79:J79</f>
        <v>0</v>
      </c>
      <c r="J84" s="305"/>
      <c r="K84" s="24"/>
    </row>
    <row r="85" spans="1:13">
      <c r="A85" s="27" t="s">
        <v>150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68"/>
      <c r="I85" s="306">
        <f>SUMIF($G$8:$G$57,G85,$E$8:$E$57)</f>
        <v>0</v>
      </c>
      <c r="J85" s="307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67" t="s">
        <v>14</v>
      </c>
      <c r="H86" s="168"/>
      <c r="I86" s="306">
        <f>-SUMIF($G$8:$G$57,G86,$D$8:$D$57)</f>
        <v>0</v>
      </c>
      <c r="J86" s="307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14"/>
      <c r="J87" s="315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02">
        <f>SUM(I84:J87)</f>
        <v>0</v>
      </c>
      <c r="J88" s="303"/>
      <c r="K88" s="24"/>
    </row>
    <row r="89" spans="1:13">
      <c r="A89" s="27" t="s">
        <v>176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69"/>
      <c r="K89" s="24"/>
    </row>
    <row r="90" spans="1:13">
      <c r="A90" s="27" t="s">
        <v>272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3594.46</v>
      </c>
      <c r="F91" s="3"/>
      <c r="G91" s="167" t="s">
        <v>19</v>
      </c>
      <c r="H91" s="168"/>
      <c r="I91" s="308">
        <f>'CEF Fevereiro 2019'!I89:J89</f>
        <v>32000.429999999993</v>
      </c>
      <c r="J91" s="309"/>
      <c r="K91" s="24"/>
    </row>
    <row r="92" spans="1:13">
      <c r="A92" s="27" t="s">
        <v>274</v>
      </c>
      <c r="B92" s="63"/>
      <c r="C92" s="63"/>
      <c r="D92" s="80"/>
      <c r="E92" s="29">
        <f t="shared" si="1"/>
        <v>174.6</v>
      </c>
      <c r="F92" s="3"/>
      <c r="G92" s="167" t="s">
        <v>42</v>
      </c>
      <c r="H92" s="168"/>
      <c r="I92" s="291">
        <f>249997.75+16000</f>
        <v>265997.75</v>
      </c>
      <c r="J92" s="292"/>
      <c r="K92" s="24"/>
    </row>
    <row r="93" spans="1:13">
      <c r="A93" s="27" t="s">
        <v>179</v>
      </c>
      <c r="B93" s="63"/>
      <c r="C93" s="63"/>
      <c r="D93" s="80"/>
      <c r="E93" s="29">
        <f t="shared" si="1"/>
        <v>0</v>
      </c>
      <c r="F93" s="3"/>
      <c r="G93" s="167" t="s">
        <v>147</v>
      </c>
      <c r="H93" s="168"/>
      <c r="I93" s="306">
        <f>-SUMIF($G$8:$G$57,G93,$E$8:$E$57)</f>
        <v>-265997.75</v>
      </c>
      <c r="J93" s="307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00"/>
      <c r="J94" s="301"/>
      <c r="K94" s="24"/>
    </row>
    <row r="95" spans="1:13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310">
        <f>SUM(I91:J94)</f>
        <v>32000.429999999993</v>
      </c>
      <c r="J95" s="311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04">
        <f>'CEF Fevereiro 2019'!I96:J96</f>
        <v>35687.520000000004</v>
      </c>
      <c r="J98" s="305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 t="s">
        <v>291</v>
      </c>
      <c r="H99" s="41"/>
      <c r="I99" s="306">
        <v>17839.080000000002</v>
      </c>
      <c r="J99" s="307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06"/>
      <c r="J100" s="307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00">
        <f>-SUMIF($G$8:$G$57,G101,$D$8:$D$57)</f>
        <v>-17561.73</v>
      </c>
      <c r="J101" s="301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02">
        <f>SUM(I98:J101)</f>
        <v>35964.87000000001</v>
      </c>
      <c r="J102" s="30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69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292</v>
      </c>
      <c r="H105" s="168"/>
      <c r="I105" s="291">
        <v>29277.63</v>
      </c>
      <c r="J105" s="292"/>
      <c r="K105" s="24"/>
    </row>
    <row r="106" spans="1:11">
      <c r="A106" s="297" t="s">
        <v>22</v>
      </c>
      <c r="B106" s="298"/>
      <c r="C106" s="298"/>
      <c r="D106" s="81"/>
      <c r="E106" s="35">
        <f>SUM(E68:E104)</f>
        <v>404993.69999999995</v>
      </c>
      <c r="F106" s="3"/>
      <c r="G106" s="27"/>
      <c r="H106" s="168"/>
      <c r="I106" s="291"/>
      <c r="J106" s="292"/>
      <c r="K106" s="24"/>
    </row>
    <row r="107" spans="1:11">
      <c r="E107" s="46">
        <f>D58-E106</f>
        <v>0</v>
      </c>
      <c r="F107" s="3"/>
      <c r="G107" s="27"/>
      <c r="H107" s="41"/>
      <c r="I107" s="295"/>
      <c r="J107" s="296"/>
      <c r="K107" s="24"/>
    </row>
    <row r="108" spans="1:11">
      <c r="F108" s="3"/>
      <c r="G108" s="89" t="s">
        <v>18</v>
      </c>
      <c r="H108" s="88"/>
      <c r="I108" s="302">
        <f>SUM(I105:J107)</f>
        <v>29277.63</v>
      </c>
      <c r="J108" s="303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63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sortState ref="A68:E98">
    <sortCondition ref="A68"/>
  </sortState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I65" sqref="I65:J6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169395.04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v>265997.75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1016.73</v>
      </c>
      <c r="C4" s="41"/>
      <c r="D4" s="144"/>
      <c r="E4" s="41"/>
      <c r="F4" s="41"/>
      <c r="J4" s="125"/>
    </row>
    <row r="5" spans="1:10" ht="15.75" thickBot="1">
      <c r="A5" s="143"/>
      <c r="B5" s="129">
        <v>99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436508.52</v>
      </c>
      <c r="C8" s="165">
        <v>202897.82</v>
      </c>
      <c r="D8" s="144">
        <f>B8-C8</f>
        <v>233610.7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26" t="s">
        <v>242</v>
      </c>
      <c r="B14" s="326" t="s">
        <v>243</v>
      </c>
      <c r="C14" s="130" t="s">
        <v>244</v>
      </c>
      <c r="D14" s="130" t="s">
        <v>246</v>
      </c>
      <c r="E14" s="130"/>
      <c r="F14" s="326" t="s">
        <v>250</v>
      </c>
    </row>
    <row r="15" spans="1:10" ht="67.5" customHeight="1">
      <c r="A15" s="327"/>
      <c r="B15" s="327"/>
      <c r="C15" s="131" t="s">
        <v>245</v>
      </c>
      <c r="D15" s="131" t="s">
        <v>247</v>
      </c>
      <c r="E15" s="131" t="s">
        <v>248</v>
      </c>
      <c r="F15" s="327"/>
    </row>
    <row r="16" spans="1:10" ht="15.75" thickBot="1">
      <c r="A16" s="328"/>
      <c r="B16" s="328"/>
      <c r="C16" s="132"/>
      <c r="D16" s="132"/>
      <c r="E16" s="133" t="s">
        <v>249</v>
      </c>
      <c r="F16" s="328"/>
    </row>
    <row r="17" spans="1:13" ht="24.95" customHeight="1" thickBot="1">
      <c r="A17" s="118" t="s">
        <v>211</v>
      </c>
      <c r="B17" s="134">
        <v>147524.41</v>
      </c>
      <c r="C17" s="115">
        <f>951.08+469.2+13347.41+90419.73+7268.83+1205.6+412.21</f>
        <v>114074.06000000001</v>
      </c>
      <c r="D17" s="115"/>
      <c r="E17" s="166">
        <f>C17+D17</f>
        <v>114074.06000000001</v>
      </c>
      <c r="F17" s="134">
        <f>382910.05+881.41+32881.72</f>
        <v>416673.17999999993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/>
      <c r="C22" s="151"/>
      <c r="D22" s="134"/>
      <c r="E22" s="166">
        <f t="shared" si="0"/>
        <v>0</v>
      </c>
      <c r="F22" s="134"/>
    </row>
    <row r="23" spans="1:13" ht="24.95" customHeight="1" thickBot="1">
      <c r="A23" s="114" t="s">
        <v>205</v>
      </c>
      <c r="B23" s="111">
        <v>106840</v>
      </c>
      <c r="C23" s="115">
        <f>89892.64+1164+2346.21+3594.46+174.6+4704</f>
        <v>101875.91000000002</v>
      </c>
      <c r="D23" s="115"/>
      <c r="E23" s="166">
        <f t="shared" si="0"/>
        <v>101875.91000000002</v>
      </c>
      <c r="F23" s="134">
        <f>13764+106660+13385.05+10929.02</f>
        <v>144738.06999999998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99</v>
      </c>
      <c r="C31" s="151"/>
      <c r="D31" s="115">
        <v>99</v>
      </c>
      <c r="E31" s="166">
        <f t="shared" si="0"/>
        <v>99</v>
      </c>
      <c r="F31" s="115"/>
    </row>
    <row r="32" spans="1:13" ht="24.95" customHeight="1" thickBot="1">
      <c r="A32" s="114" t="s">
        <v>196</v>
      </c>
      <c r="B32" s="111">
        <v>17839.080000000002</v>
      </c>
      <c r="C32" s="151">
        <f>17561.73</f>
        <v>17561.73</v>
      </c>
      <c r="D32" s="111"/>
      <c r="E32" s="166">
        <f t="shared" si="0"/>
        <v>17561.73</v>
      </c>
      <c r="F32" s="115">
        <v>35964.870000000003</v>
      </c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272302.49</v>
      </c>
      <c r="C34" s="152">
        <f>SUM(C17:C33)</f>
        <v>233511.70000000004</v>
      </c>
      <c r="D34" s="152">
        <f>SUM(D17:D33)</f>
        <v>99</v>
      </c>
      <c r="E34" s="152">
        <f>SUM(E17:E33)</f>
        <v>233610.70000000004</v>
      </c>
      <c r="F34" s="152">
        <f>SUM(F17:F33)</f>
        <v>597376.11999999988</v>
      </c>
      <c r="H34" s="46">
        <v>-327780.99</v>
      </c>
      <c r="I34" s="148">
        <f>F34+H34</f>
        <v>269595.12999999989</v>
      </c>
    </row>
    <row r="36" spans="1:9">
      <c r="B36" s="46"/>
      <c r="D36" s="147" t="s">
        <v>17</v>
      </c>
      <c r="E36" s="148">
        <f>B8-E34</f>
        <v>202897.81999999998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170000</v>
      </c>
      <c r="G39" s="163" t="s">
        <v>193</v>
      </c>
    </row>
    <row r="40" spans="1:9">
      <c r="A40" s="163" t="s">
        <v>174</v>
      </c>
      <c r="E40" s="39">
        <v>89892.639999999985</v>
      </c>
      <c r="F40" s="163" t="s">
        <v>193</v>
      </c>
    </row>
    <row r="41" spans="1:9">
      <c r="A41" s="163" t="s">
        <v>177</v>
      </c>
      <c r="E41" s="39">
        <v>951.08</v>
      </c>
      <c r="F41" s="163" t="s">
        <v>193</v>
      </c>
    </row>
    <row r="42" spans="1:9">
      <c r="A42" s="163" t="s">
        <v>255</v>
      </c>
      <c r="E42" s="39">
        <v>469.2</v>
      </c>
      <c r="F42" s="163" t="s">
        <v>193</v>
      </c>
    </row>
    <row r="43" spans="1:9">
      <c r="A43" s="163" t="s">
        <v>175</v>
      </c>
      <c r="E43" s="39">
        <v>0</v>
      </c>
    </row>
    <row r="44" spans="1:9">
      <c r="A44" s="163" t="s">
        <v>221</v>
      </c>
      <c r="E44" s="39"/>
      <c r="F44" s="39">
        <v>1383</v>
      </c>
      <c r="G44" s="163" t="s">
        <v>193</v>
      </c>
    </row>
    <row r="45" spans="1:9">
      <c r="A45" s="163" t="s">
        <v>271</v>
      </c>
      <c r="E45" s="39">
        <v>13347.41</v>
      </c>
      <c r="F45" s="163" t="s">
        <v>193</v>
      </c>
    </row>
    <row r="46" spans="1:9">
      <c r="A46" s="163" t="s">
        <v>25</v>
      </c>
      <c r="E46" s="39">
        <v>0</v>
      </c>
    </row>
    <row r="47" spans="1:9">
      <c r="A47" s="163" t="s">
        <v>270</v>
      </c>
      <c r="E47" s="39">
        <v>90419.73</v>
      </c>
      <c r="F47" s="163" t="s">
        <v>193</v>
      </c>
    </row>
    <row r="48" spans="1:9">
      <c r="A48" s="163" t="s">
        <v>219</v>
      </c>
      <c r="E48" s="39">
        <v>0</v>
      </c>
    </row>
    <row r="49" spans="1:7">
      <c r="A49" s="163" t="s">
        <v>29</v>
      </c>
      <c r="E49" s="39">
        <v>7268.83</v>
      </c>
      <c r="F49" s="163" t="s">
        <v>193</v>
      </c>
    </row>
    <row r="50" spans="1:7">
      <c r="A50" s="163" t="s">
        <v>282</v>
      </c>
      <c r="E50" s="39">
        <v>1205.6000000000001</v>
      </c>
      <c r="F50" s="163" t="s">
        <v>193</v>
      </c>
    </row>
    <row r="51" spans="1:7">
      <c r="A51" s="163" t="s">
        <v>273</v>
      </c>
      <c r="E51" s="39">
        <v>1164</v>
      </c>
      <c r="F51" s="163" t="s">
        <v>193</v>
      </c>
    </row>
    <row r="52" spans="1:7">
      <c r="A52" s="163" t="s">
        <v>218</v>
      </c>
      <c r="E52" s="39">
        <v>2346.21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283</v>
      </c>
      <c r="E54" s="39">
        <v>0</v>
      </c>
    </row>
    <row r="55" spans="1:7">
      <c r="A55" s="163" t="s">
        <v>150</v>
      </c>
      <c r="E55" s="39">
        <v>0</v>
      </c>
    </row>
    <row r="56" spans="1:7">
      <c r="A56" s="163" t="s">
        <v>220</v>
      </c>
      <c r="E56" s="39">
        <v>0</v>
      </c>
    </row>
    <row r="57" spans="1:7">
      <c r="A57" s="163" t="s">
        <v>151</v>
      </c>
      <c r="E57" s="39">
        <v>0</v>
      </c>
    </row>
    <row r="58" spans="1:7">
      <c r="A58" s="163" t="s">
        <v>49</v>
      </c>
      <c r="E58" s="39">
        <v>0</v>
      </c>
    </row>
    <row r="59" spans="1:7">
      <c r="A59" s="163" t="s">
        <v>176</v>
      </c>
      <c r="E59" s="39">
        <v>17561.73</v>
      </c>
      <c r="F59" s="163" t="s">
        <v>193</v>
      </c>
    </row>
    <row r="60" spans="1:7">
      <c r="A60" s="163" t="s">
        <v>272</v>
      </c>
      <c r="E60" s="39">
        <v>412.21000000000004</v>
      </c>
      <c r="F60" s="163" t="s">
        <v>193</v>
      </c>
    </row>
    <row r="61" spans="1:7">
      <c r="A61" s="163" t="s">
        <v>43</v>
      </c>
      <c r="E61" s="39">
        <v>3594.46</v>
      </c>
      <c r="F61" s="163" t="s">
        <v>193</v>
      </c>
    </row>
    <row r="62" spans="1:7">
      <c r="A62" s="163" t="s">
        <v>274</v>
      </c>
      <c r="E62" s="39">
        <v>174.6</v>
      </c>
      <c r="F62" s="163" t="s">
        <v>193</v>
      </c>
    </row>
    <row r="63" spans="1:7">
      <c r="A63" s="163" t="s">
        <v>179</v>
      </c>
      <c r="E63" s="39">
        <v>0</v>
      </c>
    </row>
    <row r="64" spans="1:7">
      <c r="A64" s="163" t="s">
        <v>146</v>
      </c>
      <c r="E64" s="39">
        <v>0</v>
      </c>
    </row>
    <row r="65" spans="1:6">
      <c r="A65" s="163" t="s">
        <v>34</v>
      </c>
      <c r="E65" s="39">
        <v>4704</v>
      </c>
      <c r="F65" s="163" t="s">
        <v>193</v>
      </c>
    </row>
    <row r="66" spans="1:6">
      <c r="A66" s="163" t="s">
        <v>178</v>
      </c>
      <c r="E66" s="39">
        <v>0</v>
      </c>
    </row>
    <row r="67" spans="1:6">
      <c r="A67" s="163" t="s">
        <v>72</v>
      </c>
      <c r="E67" s="46">
        <v>99</v>
      </c>
      <c r="F67" s="163" t="s">
        <v>193</v>
      </c>
    </row>
    <row r="68" spans="1:6">
      <c r="A68" s="163" t="s">
        <v>120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233610.69999999998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436508.52</v>
      </c>
    </row>
    <row r="74" spans="1:6" ht="23.25" thickBot="1">
      <c r="A74" s="155" t="s">
        <v>259</v>
      </c>
      <c r="B74" s="98">
        <f>E70</f>
        <v>233610.69999999998</v>
      </c>
    </row>
    <row r="75" spans="1:6" ht="23.25" thickBot="1">
      <c r="A75" s="155" t="s">
        <v>260</v>
      </c>
      <c r="B75" s="98">
        <f>B73-B74</f>
        <v>202897.82000000004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202897.82000000004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workbookViewId="0">
      <selection activeCell="E14" sqref="E14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5703125" style="163" bestFit="1" customWidth="1"/>
    <col min="13" max="13" width="13.28515625" style="163" bestFit="1" customWidth="1"/>
    <col min="14" max="16384" width="9.140625" style="163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295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145</v>
      </c>
      <c r="H10" s="7"/>
      <c r="I10" s="4"/>
      <c r="J10" s="19"/>
      <c r="K10" s="16"/>
    </row>
    <row r="11" spans="1:11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174</v>
      </c>
      <c r="H12" s="7" t="s">
        <v>180</v>
      </c>
      <c r="I12" s="4">
        <v>59</v>
      </c>
      <c r="J12" s="19">
        <v>10</v>
      </c>
      <c r="K12" s="16">
        <v>43550</v>
      </c>
    </row>
    <row r="13" spans="1:11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147</v>
      </c>
      <c r="H14" s="7"/>
      <c r="I14" s="4"/>
      <c r="J14" s="19"/>
      <c r="K14" s="16"/>
    </row>
    <row r="15" spans="1:11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147</v>
      </c>
      <c r="H16" s="7"/>
      <c r="I16" s="4"/>
      <c r="J16" s="19"/>
      <c r="K16" s="16"/>
    </row>
    <row r="17" spans="1:11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271</v>
      </c>
      <c r="H17" s="7" t="s">
        <v>99</v>
      </c>
      <c r="I17" s="4"/>
      <c r="J17" s="19"/>
      <c r="K17" s="16"/>
    </row>
    <row r="18" spans="1:11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149</v>
      </c>
      <c r="H18" s="7"/>
      <c r="I18" s="4"/>
      <c r="J18" s="19"/>
      <c r="K18" s="16"/>
    </row>
    <row r="19" spans="1:11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272</v>
      </c>
      <c r="H19" s="7" t="s">
        <v>275</v>
      </c>
      <c r="I19" s="4">
        <v>4</v>
      </c>
      <c r="J19" s="19">
        <v>1</v>
      </c>
      <c r="K19" s="16"/>
    </row>
    <row r="20" spans="1:11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271</v>
      </c>
      <c r="H20" s="7" t="s">
        <v>92</v>
      </c>
      <c r="I20" s="4"/>
      <c r="J20" s="19"/>
      <c r="K20" s="16"/>
    </row>
    <row r="21" spans="1:11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145</v>
      </c>
      <c r="H21" s="7"/>
      <c r="I21" s="4"/>
      <c r="J21" s="19"/>
      <c r="K21" s="16"/>
    </row>
    <row r="22" spans="1:11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271</v>
      </c>
      <c r="H22" s="7" t="s">
        <v>93</v>
      </c>
      <c r="I22" s="4"/>
      <c r="J22" s="19"/>
      <c r="K22" s="16"/>
    </row>
    <row r="23" spans="1:11">
      <c r="A23" s="15">
        <v>43560</v>
      </c>
      <c r="B23" s="4">
        <v>32019</v>
      </c>
      <c r="C23" s="4" t="s">
        <v>188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>
      <c r="A24" s="15">
        <v>43560</v>
      </c>
      <c r="B24" s="4">
        <v>309379</v>
      </c>
      <c r="C24" s="4" t="s">
        <v>172</v>
      </c>
      <c r="D24" s="77">
        <v>85648.35</v>
      </c>
      <c r="E24" s="5"/>
      <c r="F24" s="6">
        <f t="shared" si="0"/>
        <v>1.4551915228366852E-11</v>
      </c>
      <c r="G24" s="9" t="s">
        <v>270</v>
      </c>
      <c r="H24" s="7"/>
      <c r="I24" s="4"/>
      <c r="J24" s="19"/>
      <c r="K24" s="16"/>
    </row>
    <row r="25" spans="1:11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176</v>
      </c>
      <c r="H25" s="7"/>
      <c r="I25" s="4"/>
      <c r="J25" s="19"/>
      <c r="K25" s="16"/>
    </row>
    <row r="26" spans="1:11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145</v>
      </c>
      <c r="H26" s="7"/>
      <c r="I26" s="4"/>
      <c r="J26" s="19"/>
      <c r="K26" s="16"/>
    </row>
    <row r="27" spans="1:11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271</v>
      </c>
      <c r="H27" s="7" t="s">
        <v>86</v>
      </c>
      <c r="I27" s="4"/>
      <c r="J27" s="19"/>
      <c r="K27" s="16"/>
    </row>
    <row r="28" spans="1:11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271</v>
      </c>
      <c r="H28" s="7" t="s">
        <v>88</v>
      </c>
      <c r="I28" s="4"/>
      <c r="J28" s="19"/>
      <c r="K28" s="16"/>
    </row>
    <row r="29" spans="1:11">
      <c r="A29" s="15">
        <v>43571</v>
      </c>
      <c r="B29" s="4">
        <v>276573</v>
      </c>
      <c r="C29" s="4" t="s">
        <v>216</v>
      </c>
      <c r="D29" s="77">
        <v>2486.59</v>
      </c>
      <c r="E29" s="5"/>
      <c r="F29" s="6">
        <f t="shared" si="0"/>
        <v>-6668.8899999999876</v>
      </c>
      <c r="G29" s="9" t="s">
        <v>218</v>
      </c>
      <c r="H29" s="7" t="s">
        <v>222</v>
      </c>
      <c r="I29" s="4">
        <v>889202238</v>
      </c>
      <c r="J29" s="19">
        <v>1</v>
      </c>
      <c r="K29" s="16"/>
    </row>
    <row r="30" spans="1:11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174</v>
      </c>
      <c r="H30" s="7" t="s">
        <v>276</v>
      </c>
      <c r="I30" s="4">
        <v>2</v>
      </c>
      <c r="J30" s="19">
        <v>2</v>
      </c>
      <c r="K30" s="16">
        <v>43562</v>
      </c>
    </row>
    <row r="31" spans="1:11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174</v>
      </c>
      <c r="H31" s="7" t="s">
        <v>189</v>
      </c>
      <c r="I31" s="4">
        <v>8</v>
      </c>
      <c r="J31" s="19">
        <v>8</v>
      </c>
      <c r="K31" s="16">
        <v>43565</v>
      </c>
    </row>
    <row r="32" spans="1:11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174</v>
      </c>
      <c r="H32" s="7" t="s">
        <v>183</v>
      </c>
      <c r="I32" s="4">
        <v>17</v>
      </c>
      <c r="J32" s="19">
        <v>10</v>
      </c>
      <c r="K32" s="16">
        <v>43564</v>
      </c>
    </row>
    <row r="33" spans="1:11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174</v>
      </c>
      <c r="H33" s="7" t="s">
        <v>128</v>
      </c>
      <c r="I33" s="4">
        <v>35</v>
      </c>
      <c r="J33" s="19">
        <v>7</v>
      </c>
      <c r="K33" s="16">
        <v>43563</v>
      </c>
    </row>
    <row r="34" spans="1:11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174</v>
      </c>
      <c r="H34" s="7" t="s">
        <v>224</v>
      </c>
      <c r="I34" s="4">
        <v>20</v>
      </c>
      <c r="J34" s="19">
        <v>1</v>
      </c>
      <c r="K34" s="16">
        <v>43563</v>
      </c>
    </row>
    <row r="35" spans="1:11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174</v>
      </c>
      <c r="H35" s="7" t="s">
        <v>127</v>
      </c>
      <c r="I35" s="4">
        <v>64</v>
      </c>
      <c r="J35" s="19">
        <v>14</v>
      </c>
      <c r="K35" s="16">
        <v>43563</v>
      </c>
    </row>
    <row r="36" spans="1:11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174</v>
      </c>
      <c r="H36" s="7" t="s">
        <v>61</v>
      </c>
      <c r="I36" s="4">
        <v>32</v>
      </c>
      <c r="J36" s="19">
        <v>6</v>
      </c>
      <c r="K36" s="16">
        <v>43564</v>
      </c>
    </row>
    <row r="37" spans="1:11">
      <c r="A37" s="15">
        <v>43571</v>
      </c>
      <c r="B37" s="4">
        <v>141697</v>
      </c>
      <c r="C37" s="4" t="s">
        <v>173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223</v>
      </c>
      <c r="I37" s="4">
        <v>423</v>
      </c>
      <c r="J37" s="19">
        <v>11</v>
      </c>
      <c r="K37" s="16">
        <v>43556</v>
      </c>
    </row>
    <row r="38" spans="1:11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282</v>
      </c>
      <c r="H39" s="7" t="s">
        <v>256</v>
      </c>
      <c r="I39" s="4">
        <v>26</v>
      </c>
      <c r="J39" s="19">
        <v>1</v>
      </c>
      <c r="K39" s="16"/>
    </row>
    <row r="40" spans="1:11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282</v>
      </c>
      <c r="H40" s="7" t="s">
        <v>256</v>
      </c>
      <c r="I40" s="4">
        <v>21</v>
      </c>
      <c r="J40" s="19">
        <v>1</v>
      </c>
      <c r="K40" s="16"/>
    </row>
    <row r="41" spans="1:11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273</v>
      </c>
      <c r="H42" s="7" t="s">
        <v>257</v>
      </c>
      <c r="I42" s="4">
        <v>49</v>
      </c>
      <c r="J42" s="19">
        <v>1</v>
      </c>
      <c r="K42" s="16"/>
    </row>
    <row r="43" spans="1:11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145</v>
      </c>
      <c r="H43" s="7"/>
      <c r="I43" s="4"/>
      <c r="J43" s="19"/>
      <c r="K43" s="16"/>
    </row>
    <row r="44" spans="1:11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150</v>
      </c>
      <c r="H45" s="7" t="s">
        <v>161</v>
      </c>
      <c r="I45" s="4">
        <v>1344922</v>
      </c>
      <c r="J45" s="19">
        <v>1</v>
      </c>
      <c r="K45" s="16">
        <v>43560</v>
      </c>
    </row>
    <row r="46" spans="1:11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145</v>
      </c>
      <c r="H46" s="7"/>
      <c r="I46" s="4"/>
      <c r="J46" s="19"/>
      <c r="K46" s="16"/>
    </row>
    <row r="47" spans="1:11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145</v>
      </c>
      <c r="H47" s="7"/>
      <c r="I47" s="4"/>
      <c r="J47" s="19"/>
      <c r="K47" s="16"/>
    </row>
    <row r="48" spans="1:11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151</v>
      </c>
      <c r="H48" s="7"/>
      <c r="I48" s="4"/>
      <c r="J48" s="19"/>
      <c r="K48" s="16"/>
    </row>
    <row r="49" spans="1:11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234</v>
      </c>
      <c r="H49" s="7"/>
      <c r="I49" s="4"/>
      <c r="J49" s="19"/>
      <c r="K49" s="16"/>
    </row>
    <row r="50" spans="1:11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145</v>
      </c>
      <c r="H50" s="7"/>
      <c r="I50" s="4"/>
      <c r="J50" s="19"/>
      <c r="K50" s="16"/>
    </row>
    <row r="51" spans="1:11">
      <c r="A51" s="15">
        <v>43579</v>
      </c>
      <c r="B51" s="4">
        <v>124809</v>
      </c>
      <c r="C51" s="4" t="s">
        <v>173</v>
      </c>
      <c r="D51" s="77">
        <v>4127.42</v>
      </c>
      <c r="E51" s="5"/>
      <c r="F51" s="6">
        <f t="shared" si="0"/>
        <v>0</v>
      </c>
      <c r="G51" s="9" t="s">
        <v>179</v>
      </c>
      <c r="H51" s="7"/>
      <c r="I51" s="4"/>
      <c r="J51" s="19"/>
      <c r="K51" s="16"/>
    </row>
    <row r="52" spans="1:11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234</v>
      </c>
      <c r="H52" s="7"/>
      <c r="I52" s="4"/>
      <c r="J52" s="19"/>
      <c r="K52" s="16"/>
    </row>
    <row r="53" spans="1:11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176</v>
      </c>
      <c r="H53" s="7"/>
      <c r="I53" s="4"/>
      <c r="J53" s="19"/>
      <c r="K53" s="16"/>
    </row>
    <row r="54" spans="1:11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145</v>
      </c>
      <c r="H54" s="7"/>
      <c r="I54" s="4"/>
      <c r="J54" s="19"/>
      <c r="K54" s="16"/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24" t="s">
        <v>12</v>
      </c>
      <c r="B56" s="325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299" t="s">
        <v>123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</row>
    <row r="62" spans="1:11" ht="18" customHeight="1"/>
    <row r="63" spans="1:11" ht="18" customHeight="1">
      <c r="A63" s="318" t="s">
        <v>296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19" t="s">
        <v>21</v>
      </c>
      <c r="B65" s="320"/>
      <c r="C65" s="320"/>
      <c r="D65" s="320"/>
      <c r="E65" s="321"/>
      <c r="F65" s="3"/>
      <c r="G65" s="322" t="s">
        <v>20</v>
      </c>
      <c r="H65" s="322"/>
      <c r="I65" s="322"/>
      <c r="J65" s="322"/>
      <c r="K65" s="24"/>
    </row>
    <row r="66" spans="1:11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06">
        <f>SUMIF($G$8:$G$55,G66,$E$8:$E$55)</f>
        <v>265997.75</v>
      </c>
      <c r="J66" s="307"/>
      <c r="K66" s="24"/>
    </row>
    <row r="67" spans="1:11">
      <c r="A67" s="27" t="s">
        <v>149</v>
      </c>
      <c r="B67" s="63"/>
      <c r="C67" s="63"/>
      <c r="D67" s="80"/>
      <c r="E67" s="29">
        <f t="shared" si="1"/>
        <v>178000</v>
      </c>
      <c r="F67" s="3"/>
      <c r="G67" s="316" t="s">
        <v>145</v>
      </c>
      <c r="H67" s="317"/>
      <c r="I67" s="306">
        <f>SUMIF($G$8:$G$55,G67,$E$8:$E$55)</f>
        <v>220478.45</v>
      </c>
      <c r="J67" s="307"/>
      <c r="K67" s="24"/>
    </row>
    <row r="68" spans="1:11">
      <c r="A68" s="27" t="s">
        <v>174</v>
      </c>
      <c r="B68" s="63"/>
      <c r="C68" s="63"/>
      <c r="D68" s="80"/>
      <c r="E68" s="29">
        <f t="shared" si="1"/>
        <v>96641.51</v>
      </c>
      <c r="F68" s="3"/>
      <c r="G68" s="316" t="s">
        <v>289</v>
      </c>
      <c r="H68" s="317"/>
      <c r="I68" s="306">
        <f>SUMIF($G$8:$G$55,G68,$E$8:$E$55)</f>
        <v>0</v>
      </c>
      <c r="J68" s="307"/>
      <c r="K68" s="24"/>
    </row>
    <row r="69" spans="1:11">
      <c r="A69" s="27" t="s">
        <v>177</v>
      </c>
      <c r="B69" s="63"/>
      <c r="C69" s="63"/>
      <c r="D69" s="80"/>
      <c r="E69" s="29">
        <f t="shared" si="1"/>
        <v>0</v>
      </c>
      <c r="F69" s="3"/>
      <c r="G69" s="316" t="s">
        <v>234</v>
      </c>
      <c r="H69" s="317"/>
      <c r="I69" s="306">
        <f>SUMIF($G$8:$G$55,G69,$E$8:$E$55)</f>
        <v>259</v>
      </c>
      <c r="J69" s="307"/>
      <c r="K69" s="24"/>
    </row>
    <row r="70" spans="1:11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06">
        <f>SUMIF($G$8:$G$55,G70,$E$8:$E$55)</f>
        <v>0</v>
      </c>
      <c r="J70" s="307"/>
      <c r="K70" s="24"/>
    </row>
    <row r="71" spans="1:11">
      <c r="A71" s="27" t="s">
        <v>175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302">
        <f>SUM(I66:J70)</f>
        <v>486735.2</v>
      </c>
      <c r="J71" s="303"/>
      <c r="K71" s="61">
        <f>E56-I71</f>
        <v>0</v>
      </c>
    </row>
    <row r="72" spans="1:11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>
      <c r="A73" s="27" t="s">
        <v>271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>
      <c r="A74" s="27" t="s">
        <v>25</v>
      </c>
      <c r="B74" s="63"/>
      <c r="C74" s="63"/>
      <c r="D74" s="80"/>
      <c r="E74" s="29">
        <f t="shared" si="1"/>
        <v>0</v>
      </c>
      <c r="F74" s="3"/>
      <c r="G74" s="171" t="s">
        <v>19</v>
      </c>
      <c r="H74" s="172"/>
      <c r="I74" s="306">
        <f>'CEF Março 2019'!I81:J81</f>
        <v>202897.81999999995</v>
      </c>
      <c r="J74" s="307"/>
    </row>
    <row r="75" spans="1:11">
      <c r="A75" s="27" t="s">
        <v>270</v>
      </c>
      <c r="B75" s="63"/>
      <c r="C75" s="63"/>
      <c r="D75" s="80"/>
      <c r="E75" s="29">
        <f t="shared" si="1"/>
        <v>85648.35</v>
      </c>
      <c r="F75" s="3"/>
      <c r="G75" s="27" t="s">
        <v>149</v>
      </c>
      <c r="H75" s="172"/>
      <c r="I75" s="306">
        <f>SUMIF($G$8:$G$55,G75,$D$8:$D$55)</f>
        <v>178000</v>
      </c>
      <c r="J75" s="307"/>
    </row>
    <row r="76" spans="1:11">
      <c r="A76" s="27" t="s">
        <v>219</v>
      </c>
      <c r="B76" s="63"/>
      <c r="C76" s="63"/>
      <c r="D76" s="80"/>
      <c r="E76" s="29">
        <f t="shared" si="1"/>
        <v>0</v>
      </c>
      <c r="F76" s="3"/>
      <c r="G76" s="316" t="s">
        <v>145</v>
      </c>
      <c r="H76" s="317"/>
      <c r="I76" s="306">
        <f>-SUMIF($G$8:$G$55,G76,$E$8:$E$55)</f>
        <v>-220478.45</v>
      </c>
      <c r="J76" s="307"/>
    </row>
    <row r="77" spans="1:11">
      <c r="A77" s="27" t="s">
        <v>29</v>
      </c>
      <c r="B77" s="63"/>
      <c r="C77" s="63"/>
      <c r="D77" s="80"/>
      <c r="E77" s="29">
        <f t="shared" si="1"/>
        <v>8143.3</v>
      </c>
      <c r="F77" s="3"/>
      <c r="G77" s="171" t="s">
        <v>30</v>
      </c>
      <c r="H77" s="172"/>
      <c r="I77" s="306">
        <v>1225.8800000000001</v>
      </c>
      <c r="J77" s="307"/>
    </row>
    <row r="78" spans="1:11">
      <c r="A78" s="27" t="s">
        <v>282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314"/>
      <c r="J78" s="315"/>
    </row>
    <row r="79" spans="1:11">
      <c r="A79" s="27" t="s">
        <v>273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310">
        <f>SUM(I74:J77)</f>
        <v>161645.24999999994</v>
      </c>
      <c r="J79" s="311"/>
    </row>
    <row r="80" spans="1:11">
      <c r="A80" s="27" t="s">
        <v>218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70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12"/>
      <c r="J81" s="313"/>
      <c r="K81" s="24"/>
    </row>
    <row r="82" spans="1:13">
      <c r="A82" s="27" t="s">
        <v>283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04">
        <f>'CEF Março 2019'!I88:J88</f>
        <v>0</v>
      </c>
      <c r="J82" s="305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72"/>
      <c r="I83" s="306">
        <f>SUMIF($G$8:$G$55,G83,$E$8:$E$55)</f>
        <v>0</v>
      </c>
      <c r="J83" s="307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171" t="s">
        <v>14</v>
      </c>
      <c r="H84" s="172"/>
      <c r="I84" s="306">
        <f>-SUMIF($G$8:$G$55,G84,$D$8:$D$55)</f>
        <v>0</v>
      </c>
      <c r="J84" s="307"/>
      <c r="K84" s="24"/>
    </row>
    <row r="85" spans="1:13">
      <c r="A85" s="27" t="s">
        <v>151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314"/>
      <c r="J85" s="315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02">
        <f>SUM(I82:J85)</f>
        <v>0</v>
      </c>
      <c r="J86" s="303"/>
      <c r="K86" s="24"/>
    </row>
    <row r="87" spans="1:13">
      <c r="A87" s="27" t="s">
        <v>176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70"/>
      <c r="K87" s="24"/>
    </row>
    <row r="88" spans="1:13">
      <c r="A88" s="27" t="s">
        <v>272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3549.82</v>
      </c>
      <c r="F89" s="3"/>
      <c r="G89" s="171" t="s">
        <v>19</v>
      </c>
      <c r="H89" s="172"/>
      <c r="I89" s="308">
        <f>'CEF Março 2019'!I95:J95</f>
        <v>32000.429999999993</v>
      </c>
      <c r="J89" s="309"/>
      <c r="K89" s="24"/>
    </row>
    <row r="90" spans="1:13">
      <c r="A90" s="27" t="s">
        <v>274</v>
      </c>
      <c r="B90" s="63"/>
      <c r="C90" s="63"/>
      <c r="D90" s="80"/>
      <c r="E90" s="29">
        <f t="shared" si="1"/>
        <v>0</v>
      </c>
      <c r="F90" s="3"/>
      <c r="G90" s="171" t="s">
        <v>42</v>
      </c>
      <c r="H90" s="172"/>
      <c r="I90" s="291">
        <f>249997.75+16000+3281.74</f>
        <v>269279.49</v>
      </c>
      <c r="J90" s="292"/>
      <c r="K90" s="24"/>
    </row>
    <row r="91" spans="1:13">
      <c r="A91" s="27" t="s">
        <v>179</v>
      </c>
      <c r="B91" s="63"/>
      <c r="C91" s="63"/>
      <c r="D91" s="80"/>
      <c r="E91" s="29">
        <f t="shared" si="1"/>
        <v>4127.42</v>
      </c>
      <c r="F91" s="3"/>
      <c r="G91" s="171" t="s">
        <v>147</v>
      </c>
      <c r="H91" s="172"/>
      <c r="I91" s="306">
        <f>-SUMIF($G$8:$G$55,G91,$E$8:$E$55)</f>
        <v>-265997.75</v>
      </c>
      <c r="J91" s="307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00"/>
      <c r="J92" s="301"/>
      <c r="K92" s="24"/>
    </row>
    <row r="93" spans="1:13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310">
        <f>SUM(I89:J92)</f>
        <v>35282.169999999984</v>
      </c>
      <c r="J93" s="311"/>
      <c r="K93" s="24"/>
      <c r="L93" s="46">
        <f>I93-I89</f>
        <v>3281.7399999999907</v>
      </c>
      <c r="M93" s="39"/>
    </row>
    <row r="94" spans="1:13">
      <c r="A94" s="27" t="s">
        <v>178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04">
        <f>'CEF Março 2019'!I102:J102</f>
        <v>35964.87000000001</v>
      </c>
      <c r="J96" s="305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 t="s">
        <v>297</v>
      </c>
      <c r="H97" s="41"/>
      <c r="I97" s="306">
        <v>15533.58</v>
      </c>
      <c r="J97" s="307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306"/>
      <c r="J98" s="307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00">
        <f>-SUMIF($G$8:$G$55,G99,$D$8:$D$55)</f>
        <v>-35964.870000000003</v>
      </c>
      <c r="J99" s="301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02">
        <f>SUM(I96:J99)</f>
        <v>15533.580000000009</v>
      </c>
      <c r="J100" s="30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7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298</v>
      </c>
      <c r="H103" s="172"/>
      <c r="I103" s="291">
        <v>31311.21</v>
      </c>
      <c r="J103" s="292"/>
      <c r="K103" s="24"/>
    </row>
    <row r="104" spans="1:11">
      <c r="A104" s="297" t="s">
        <v>22</v>
      </c>
      <c r="B104" s="298"/>
      <c r="C104" s="298"/>
      <c r="D104" s="81"/>
      <c r="E104" s="35">
        <f>SUM(E66:E102)</f>
        <v>486735.2</v>
      </c>
      <c r="F104" s="3"/>
      <c r="G104" s="27"/>
      <c r="H104" s="172"/>
      <c r="I104" s="291"/>
      <c r="J104" s="292"/>
      <c r="K104" s="24"/>
    </row>
    <row r="105" spans="1:11">
      <c r="E105" s="46">
        <f>D56-E104</f>
        <v>0</v>
      </c>
      <c r="F105" s="3"/>
      <c r="G105" s="27"/>
      <c r="H105" s="41"/>
      <c r="I105" s="295"/>
      <c r="J105" s="296"/>
      <c r="K105" s="24"/>
    </row>
    <row r="106" spans="1:11">
      <c r="F106" s="3"/>
      <c r="G106" s="89" t="s">
        <v>18</v>
      </c>
      <c r="H106" s="88"/>
      <c r="I106" s="302">
        <f>SUM(I103:J105)</f>
        <v>31311.21</v>
      </c>
      <c r="J106" s="303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163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5"/>
  <sheetViews>
    <sheetView topLeftCell="A16" workbookViewId="0">
      <selection activeCell="I65" sqref="I65:J65"/>
    </sheetView>
  </sheetViews>
  <sheetFormatPr defaultRowHeight="15"/>
  <cols>
    <col min="1" max="1" width="28.140625" style="176" customWidth="1"/>
    <col min="2" max="2" width="17.7109375" style="176" customWidth="1"/>
    <col min="3" max="3" width="17.140625" style="176" customWidth="1"/>
    <col min="4" max="4" width="16.85546875" style="176" customWidth="1"/>
    <col min="5" max="5" width="17.85546875" style="176" customWidth="1"/>
    <col min="6" max="6" width="19.140625" style="176" customWidth="1"/>
    <col min="7" max="7" width="9.5703125" style="176" bestFit="1" customWidth="1"/>
    <col min="8" max="8" width="13.28515625" style="176" bestFit="1" customWidth="1"/>
    <col min="9" max="11" width="9.140625" style="176"/>
    <col min="12" max="12" width="11.7109375" style="176" bestFit="1" customWidth="1"/>
    <col min="13" max="13" width="10.140625" style="176" bestFit="1" customWidth="1"/>
    <col min="14" max="16384" width="9.140625" style="176"/>
  </cols>
  <sheetData>
    <row r="1" spans="1:6" ht="15.75" thickBot="1"/>
    <row r="2" spans="1:6" ht="15.75" thickBot="1">
      <c r="A2" s="184" t="s">
        <v>251</v>
      </c>
      <c r="B2" s="128">
        <v>202897.82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1225.8800000000001</v>
      </c>
      <c r="C4" s="41"/>
      <c r="D4" s="144"/>
      <c r="E4" s="41"/>
      <c r="F4" s="41"/>
    </row>
    <row r="5" spans="1:6" ht="15.75" thickBot="1">
      <c r="A5" s="177"/>
      <c r="B5" s="129">
        <v>259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470380.45</v>
      </c>
      <c r="C7" s="165"/>
      <c r="D7" s="144"/>
      <c r="E7" s="41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150969.47</v>
      </c>
      <c r="C11" s="115">
        <f>11400+10929.02+85648.35+8143.3+3870.68+469.2+412.21+4127.42+41482.63</f>
        <v>166482.81</v>
      </c>
      <c r="D11" s="115"/>
      <c r="E11" s="166">
        <f t="shared" ref="E11:E26" si="0">C11+D11</f>
        <v>166482.81</v>
      </c>
      <c r="F11" s="134">
        <f>398269.56+942.62+10389.48+383.5</f>
        <v>409985.16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3" ht="24.95" customHeight="1" thickBot="1">
      <c r="A17" s="114" t="s">
        <v>205</v>
      </c>
      <c r="B17" s="111">
        <v>102710</v>
      </c>
      <c r="C17" s="115">
        <f>96641.51+1158.6+2486.59+3549.82+2352</f>
        <v>106188.52</v>
      </c>
      <c r="D17" s="115"/>
      <c r="E17" s="166">
        <f t="shared" si="0"/>
        <v>106188.52</v>
      </c>
      <c r="F17" s="134">
        <f>12274.7+13558.86+104110</f>
        <v>129943.56</v>
      </c>
    </row>
    <row r="18" spans="1:13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3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3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3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3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3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3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3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3" ht="24.95" customHeight="1" thickBot="1">
      <c r="A26" s="114" t="s">
        <v>196</v>
      </c>
      <c r="B26" s="111">
        <v>15533.58</v>
      </c>
      <c r="C26" s="151">
        <v>35964.870000000003</v>
      </c>
      <c r="D26" s="111"/>
      <c r="E26" s="166">
        <f t="shared" si="0"/>
        <v>35964.870000000003</v>
      </c>
      <c r="F26" s="115">
        <v>15533.58</v>
      </c>
    </row>
    <row r="27" spans="1:13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3" ht="24.95" customHeight="1" thickBot="1">
      <c r="A28" s="113" t="s">
        <v>194</v>
      </c>
      <c r="B28" s="152">
        <f>SUM(B11:B27)</f>
        <v>269312.05</v>
      </c>
      <c r="C28" s="152">
        <f>SUM(C11:C27)</f>
        <v>308636.2</v>
      </c>
      <c r="D28" s="152">
        <f>SUM(D11:D27)</f>
        <v>99</v>
      </c>
      <c r="E28" s="152">
        <f>SUM(E11:E27)</f>
        <v>308735.2</v>
      </c>
      <c r="F28" s="152">
        <f>SUM(F11:F27)</f>
        <v>555462.29999999993</v>
      </c>
      <c r="H28" s="46">
        <f>3253344.44-2696882.14</f>
        <v>556462.29999999981</v>
      </c>
    </row>
    <row r="30" spans="1:13">
      <c r="B30" s="46"/>
      <c r="D30" s="147" t="s">
        <v>17</v>
      </c>
      <c r="E30" s="148">
        <f>B7-E28</f>
        <v>161645.25</v>
      </c>
      <c r="F30" s="46"/>
    </row>
    <row r="32" spans="1:13">
      <c r="A32" s="332" t="s">
        <v>233</v>
      </c>
      <c r="B32" s="333" t="s">
        <v>233</v>
      </c>
      <c r="C32" s="333" t="s">
        <v>233</v>
      </c>
      <c r="D32" s="334" t="s">
        <v>233</v>
      </c>
      <c r="E32" s="182">
        <v>0</v>
      </c>
      <c r="F32" s="178"/>
      <c r="G32" s="178"/>
      <c r="H32" s="178"/>
      <c r="I32" s="178"/>
      <c r="J32" s="178"/>
      <c r="K32" s="178"/>
      <c r="L32" s="178"/>
      <c r="M32" s="178"/>
    </row>
    <row r="33" spans="1:7">
      <c r="A33" s="332" t="s">
        <v>149</v>
      </c>
      <c r="B33" s="333" t="s">
        <v>149</v>
      </c>
      <c r="C33" s="333" t="s">
        <v>149</v>
      </c>
      <c r="D33" s="334" t="s">
        <v>149</v>
      </c>
      <c r="E33" s="182"/>
      <c r="F33" s="182">
        <v>178000</v>
      </c>
    </row>
    <row r="34" spans="1:7">
      <c r="A34" s="332" t="s">
        <v>174</v>
      </c>
      <c r="B34" s="333" t="s">
        <v>174</v>
      </c>
      <c r="C34" s="333" t="s">
        <v>174</v>
      </c>
      <c r="D34" s="334" t="s">
        <v>174</v>
      </c>
      <c r="E34" s="182">
        <v>96641.51</v>
      </c>
      <c r="F34" s="176" t="s">
        <v>193</v>
      </c>
    </row>
    <row r="35" spans="1:7">
      <c r="A35" s="332" t="s">
        <v>177</v>
      </c>
      <c r="B35" s="333" t="s">
        <v>177</v>
      </c>
      <c r="C35" s="333" t="s">
        <v>177</v>
      </c>
      <c r="D35" s="334" t="s">
        <v>177</v>
      </c>
      <c r="E35" s="182">
        <v>0</v>
      </c>
    </row>
    <row r="36" spans="1:7">
      <c r="A36" s="332" t="s">
        <v>255</v>
      </c>
      <c r="B36" s="333" t="s">
        <v>255</v>
      </c>
      <c r="C36" s="333" t="s">
        <v>255</v>
      </c>
      <c r="D36" s="334" t="s">
        <v>255</v>
      </c>
      <c r="E36" s="182">
        <v>0</v>
      </c>
    </row>
    <row r="37" spans="1:7">
      <c r="A37" s="332" t="s">
        <v>175</v>
      </c>
      <c r="B37" s="333" t="s">
        <v>175</v>
      </c>
      <c r="C37" s="333" t="s">
        <v>175</v>
      </c>
      <c r="D37" s="334" t="s">
        <v>175</v>
      </c>
      <c r="E37" s="182">
        <v>11400</v>
      </c>
      <c r="F37" s="176" t="s">
        <v>193</v>
      </c>
    </row>
    <row r="38" spans="1:7">
      <c r="A38" s="332" t="s">
        <v>221</v>
      </c>
      <c r="B38" s="333" t="s">
        <v>221</v>
      </c>
      <c r="C38" s="333" t="s">
        <v>221</v>
      </c>
      <c r="D38" s="334" t="s">
        <v>221</v>
      </c>
      <c r="E38" s="182">
        <v>0</v>
      </c>
      <c r="F38" s="39"/>
    </row>
    <row r="39" spans="1:7">
      <c r="A39" s="332" t="s">
        <v>271</v>
      </c>
      <c r="B39" s="333" t="s">
        <v>271</v>
      </c>
      <c r="C39" s="333" t="s">
        <v>271</v>
      </c>
      <c r="D39" s="334" t="s">
        <v>271</v>
      </c>
      <c r="E39" s="182">
        <v>10929.02</v>
      </c>
      <c r="F39" s="176" t="s">
        <v>193</v>
      </c>
    </row>
    <row r="40" spans="1:7">
      <c r="A40" s="332" t="s">
        <v>25</v>
      </c>
      <c r="B40" s="333" t="s">
        <v>25</v>
      </c>
      <c r="C40" s="333" t="s">
        <v>25</v>
      </c>
      <c r="D40" s="334" t="s">
        <v>25</v>
      </c>
      <c r="E40" s="182">
        <v>0</v>
      </c>
    </row>
    <row r="41" spans="1:7">
      <c r="A41" s="332" t="s">
        <v>270</v>
      </c>
      <c r="B41" s="333" t="s">
        <v>270</v>
      </c>
      <c r="C41" s="333" t="s">
        <v>270</v>
      </c>
      <c r="D41" s="334" t="s">
        <v>270</v>
      </c>
      <c r="E41" s="182">
        <v>85648.35</v>
      </c>
      <c r="F41" s="176" t="s">
        <v>193</v>
      </c>
    </row>
    <row r="42" spans="1:7">
      <c r="A42" s="332" t="s">
        <v>219</v>
      </c>
      <c r="B42" s="333" t="s">
        <v>219</v>
      </c>
      <c r="C42" s="333" t="s">
        <v>219</v>
      </c>
      <c r="D42" s="334" t="s">
        <v>219</v>
      </c>
      <c r="E42" s="182">
        <v>0</v>
      </c>
    </row>
    <row r="43" spans="1:7">
      <c r="A43" s="332" t="s">
        <v>29</v>
      </c>
      <c r="B43" s="333" t="s">
        <v>29</v>
      </c>
      <c r="C43" s="333" t="s">
        <v>29</v>
      </c>
      <c r="D43" s="334" t="s">
        <v>29</v>
      </c>
      <c r="E43" s="182">
        <v>8143.3</v>
      </c>
      <c r="F43" s="176" t="s">
        <v>193</v>
      </c>
    </row>
    <row r="44" spans="1:7">
      <c r="A44" s="332" t="s">
        <v>282</v>
      </c>
      <c r="B44" s="333" t="s">
        <v>282</v>
      </c>
      <c r="C44" s="333" t="s">
        <v>282</v>
      </c>
      <c r="D44" s="334" t="s">
        <v>282</v>
      </c>
      <c r="E44" s="182">
        <v>3870.6800000000003</v>
      </c>
      <c r="F44" s="176" t="s">
        <v>193</v>
      </c>
    </row>
    <row r="45" spans="1:7">
      <c r="A45" s="332" t="s">
        <v>273</v>
      </c>
      <c r="B45" s="333" t="s">
        <v>273</v>
      </c>
      <c r="C45" s="333" t="s">
        <v>273</v>
      </c>
      <c r="D45" s="334" t="s">
        <v>273</v>
      </c>
      <c r="E45" s="182">
        <v>1158.6000000000001</v>
      </c>
      <c r="F45" s="176" t="s">
        <v>193</v>
      </c>
    </row>
    <row r="46" spans="1:7">
      <c r="A46" s="332" t="s">
        <v>218</v>
      </c>
      <c r="B46" s="333" t="s">
        <v>218</v>
      </c>
      <c r="C46" s="333" t="s">
        <v>218</v>
      </c>
      <c r="D46" s="334" t="s">
        <v>218</v>
      </c>
      <c r="E46" s="182">
        <v>2486.59</v>
      </c>
      <c r="F46" s="176" t="s">
        <v>193</v>
      </c>
      <c r="G46" s="46"/>
    </row>
    <row r="47" spans="1:7">
      <c r="A47" s="332" t="s">
        <v>28</v>
      </c>
      <c r="B47" s="333" t="s">
        <v>28</v>
      </c>
      <c r="C47" s="333" t="s">
        <v>28</v>
      </c>
      <c r="D47" s="334" t="s">
        <v>28</v>
      </c>
      <c r="E47" s="182">
        <v>0</v>
      </c>
    </row>
    <row r="48" spans="1:7">
      <c r="A48" s="332" t="s">
        <v>283</v>
      </c>
      <c r="B48" s="333" t="s">
        <v>283</v>
      </c>
      <c r="C48" s="333" t="s">
        <v>283</v>
      </c>
      <c r="D48" s="334" t="s">
        <v>283</v>
      </c>
      <c r="E48" s="182">
        <v>0</v>
      </c>
    </row>
    <row r="49" spans="1:6">
      <c r="A49" s="332" t="s">
        <v>150</v>
      </c>
      <c r="B49" s="333" t="s">
        <v>150</v>
      </c>
      <c r="C49" s="333" t="s">
        <v>150</v>
      </c>
      <c r="D49" s="334" t="s">
        <v>150</v>
      </c>
      <c r="E49" s="182">
        <v>469.2</v>
      </c>
      <c r="F49" s="176" t="s">
        <v>193</v>
      </c>
    </row>
    <row r="50" spans="1:6">
      <c r="A50" s="332" t="s">
        <v>220</v>
      </c>
      <c r="B50" s="333" t="s">
        <v>220</v>
      </c>
      <c r="C50" s="333" t="s">
        <v>220</v>
      </c>
      <c r="D50" s="334" t="s">
        <v>220</v>
      </c>
      <c r="E50" s="182">
        <v>0</v>
      </c>
    </row>
    <row r="51" spans="1:6" s="178" customFormat="1">
      <c r="A51" s="332" t="s">
        <v>151</v>
      </c>
      <c r="B51" s="333" t="s">
        <v>151</v>
      </c>
      <c r="C51" s="333" t="s">
        <v>151</v>
      </c>
      <c r="D51" s="334" t="s">
        <v>151</v>
      </c>
      <c r="E51" s="182">
        <v>41482.629999999997</v>
      </c>
      <c r="F51" s="178" t="s">
        <v>193</v>
      </c>
    </row>
    <row r="52" spans="1:6" s="178" customFormat="1">
      <c r="A52" s="332" t="s">
        <v>49</v>
      </c>
      <c r="B52" s="333" t="s">
        <v>49</v>
      </c>
      <c r="C52" s="333" t="s">
        <v>49</v>
      </c>
      <c r="D52" s="334" t="s">
        <v>49</v>
      </c>
      <c r="E52" s="182">
        <v>0</v>
      </c>
    </row>
    <row r="53" spans="1:6" s="178" customFormat="1">
      <c r="A53" s="332" t="s">
        <v>176</v>
      </c>
      <c r="B53" s="333" t="s">
        <v>176</v>
      </c>
      <c r="C53" s="333" t="s">
        <v>176</v>
      </c>
      <c r="D53" s="334" t="s">
        <v>176</v>
      </c>
      <c r="E53" s="182">
        <v>35964.870000000003</v>
      </c>
      <c r="F53" s="178" t="s">
        <v>144</v>
      </c>
    </row>
    <row r="54" spans="1:6" s="178" customFormat="1">
      <c r="A54" s="332" t="s">
        <v>272</v>
      </c>
      <c r="B54" s="333" t="s">
        <v>272</v>
      </c>
      <c r="C54" s="333" t="s">
        <v>272</v>
      </c>
      <c r="D54" s="334" t="s">
        <v>272</v>
      </c>
      <c r="E54" s="182">
        <v>412.21000000000004</v>
      </c>
      <c r="F54" s="178" t="s">
        <v>144</v>
      </c>
    </row>
    <row r="55" spans="1:6" s="178" customFormat="1">
      <c r="A55" s="332" t="s">
        <v>43</v>
      </c>
      <c r="B55" s="333" t="s">
        <v>43</v>
      </c>
      <c r="C55" s="333" t="s">
        <v>43</v>
      </c>
      <c r="D55" s="334" t="s">
        <v>43</v>
      </c>
      <c r="E55" s="182">
        <v>3549.82</v>
      </c>
      <c r="F55" s="178" t="s">
        <v>144</v>
      </c>
    </row>
    <row r="56" spans="1:6" s="178" customFormat="1">
      <c r="A56" s="332" t="s">
        <v>274</v>
      </c>
      <c r="B56" s="333" t="s">
        <v>274</v>
      </c>
      <c r="C56" s="333" t="s">
        <v>274</v>
      </c>
      <c r="D56" s="334" t="s">
        <v>274</v>
      </c>
      <c r="E56" s="182">
        <v>0</v>
      </c>
    </row>
    <row r="57" spans="1:6" s="178" customFormat="1">
      <c r="A57" s="332" t="s">
        <v>179</v>
      </c>
      <c r="B57" s="333" t="s">
        <v>179</v>
      </c>
      <c r="C57" s="333" t="s">
        <v>179</v>
      </c>
      <c r="D57" s="334" t="s">
        <v>179</v>
      </c>
      <c r="E57" s="182">
        <v>4127.42</v>
      </c>
      <c r="F57" s="178" t="s">
        <v>144</v>
      </c>
    </row>
    <row r="58" spans="1:6" s="178" customFormat="1">
      <c r="A58" s="332" t="s">
        <v>146</v>
      </c>
      <c r="B58" s="333" t="s">
        <v>146</v>
      </c>
      <c r="C58" s="333" t="s">
        <v>146</v>
      </c>
      <c r="D58" s="334" t="s">
        <v>146</v>
      </c>
      <c r="E58" s="182">
        <v>0</v>
      </c>
    </row>
    <row r="59" spans="1:6" s="178" customFormat="1">
      <c r="A59" s="332" t="s">
        <v>34</v>
      </c>
      <c r="B59" s="333" t="s">
        <v>34</v>
      </c>
      <c r="C59" s="333" t="s">
        <v>34</v>
      </c>
      <c r="D59" s="334" t="s">
        <v>34</v>
      </c>
      <c r="E59" s="182">
        <v>2352</v>
      </c>
      <c r="F59" s="178" t="s">
        <v>144</v>
      </c>
    </row>
    <row r="60" spans="1:6" s="178" customFormat="1">
      <c r="A60" s="332" t="s">
        <v>178</v>
      </c>
      <c r="B60" s="333" t="s">
        <v>178</v>
      </c>
      <c r="C60" s="333" t="s">
        <v>178</v>
      </c>
      <c r="D60" s="334" t="s">
        <v>178</v>
      </c>
      <c r="E60" s="182">
        <v>0</v>
      </c>
    </row>
    <row r="61" spans="1:6" s="178" customFormat="1">
      <c r="A61" s="332" t="s">
        <v>72</v>
      </c>
      <c r="B61" s="333" t="s">
        <v>72</v>
      </c>
      <c r="C61" s="333" t="s">
        <v>72</v>
      </c>
      <c r="D61" s="334" t="s">
        <v>72</v>
      </c>
      <c r="E61" s="182">
        <v>99</v>
      </c>
      <c r="F61" s="178" t="s">
        <v>144</v>
      </c>
    </row>
    <row r="62" spans="1:6" s="178" customFormat="1">
      <c r="A62" s="332" t="s">
        <v>120</v>
      </c>
      <c r="B62" s="333" t="s">
        <v>120</v>
      </c>
      <c r="C62" s="333" t="s">
        <v>120</v>
      </c>
      <c r="D62" s="334" t="s">
        <v>120</v>
      </c>
      <c r="E62" s="182">
        <v>0</v>
      </c>
    </row>
    <row r="63" spans="1:6">
      <c r="A63" s="332"/>
      <c r="B63" s="333"/>
      <c r="C63" s="333"/>
      <c r="D63" s="334"/>
      <c r="E63" s="183"/>
      <c r="F63" s="46"/>
    </row>
    <row r="64" spans="1:6">
      <c r="A64" s="335"/>
      <c r="B64" s="336"/>
      <c r="C64" s="336"/>
      <c r="D64" s="336"/>
      <c r="E64" s="294"/>
      <c r="F64" s="46"/>
    </row>
    <row r="65" spans="1:5">
      <c r="A65" s="329" t="s">
        <v>22</v>
      </c>
      <c r="B65" s="330"/>
      <c r="C65" s="330"/>
      <c r="D65" s="331"/>
      <c r="E65" s="183">
        <f>SUM(E32:E63)</f>
        <v>308735.2</v>
      </c>
    </row>
    <row r="67" spans="1:5" ht="15.75" thickBot="1">
      <c r="E67" s="46"/>
    </row>
    <row r="68" spans="1:5" ht="23.25" thickBot="1">
      <c r="A68" s="154" t="s">
        <v>258</v>
      </c>
      <c r="B68" s="95">
        <f>B7</f>
        <v>470380.45</v>
      </c>
    </row>
    <row r="69" spans="1:5" ht="23.25" thickBot="1">
      <c r="A69" s="155" t="s">
        <v>259</v>
      </c>
      <c r="B69" s="98">
        <f>E65</f>
        <v>308735.2</v>
      </c>
    </row>
    <row r="70" spans="1:5" ht="23.25" thickBot="1">
      <c r="A70" s="155" t="s">
        <v>260</v>
      </c>
      <c r="B70" s="98">
        <f>B68-B69</f>
        <v>161645.25</v>
      </c>
      <c r="E70" s="136"/>
    </row>
    <row r="71" spans="1:5" ht="23.25" thickBot="1">
      <c r="A71" s="155" t="s">
        <v>261</v>
      </c>
      <c r="B71" s="97">
        <v>0</v>
      </c>
    </row>
    <row r="72" spans="1:5" ht="34.5" thickBot="1">
      <c r="A72" s="155" t="s">
        <v>262</v>
      </c>
      <c r="B72" s="98">
        <f>B70-B71</f>
        <v>161645.25</v>
      </c>
      <c r="E72" s="46"/>
    </row>
    <row r="75" spans="1:5">
      <c r="E75" s="46"/>
    </row>
  </sheetData>
  <mergeCells count="37">
    <mergeCell ref="A9:A10"/>
    <mergeCell ref="B9:B10"/>
    <mergeCell ref="F9:F10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9:D49"/>
    <mergeCell ref="A50:D50"/>
    <mergeCell ref="A44:D44"/>
    <mergeCell ref="A45:D45"/>
    <mergeCell ref="A46:D46"/>
    <mergeCell ref="A47:D47"/>
    <mergeCell ref="A48:D48"/>
    <mergeCell ref="A65:D65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E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workbookViewId="0">
      <selection activeCell="I65" sqref="I65:J65"/>
    </sheetView>
  </sheetViews>
  <sheetFormatPr defaultRowHeight="15"/>
  <cols>
    <col min="1" max="1" width="10.42578125" style="176" bestFit="1" customWidth="1"/>
    <col min="2" max="2" width="11.42578125" style="176" bestFit="1" customWidth="1"/>
    <col min="3" max="3" width="41.140625" style="176" bestFit="1" customWidth="1"/>
    <col min="4" max="4" width="12.42578125" style="74" bestFit="1" customWidth="1"/>
    <col min="5" max="5" width="13.28515625" style="176" bestFit="1" customWidth="1"/>
    <col min="6" max="6" width="12.42578125" style="176" bestFit="1" customWidth="1"/>
    <col min="7" max="7" width="45.140625" style="176" bestFit="1" customWidth="1"/>
    <col min="8" max="8" width="47" style="176" bestFit="1" customWidth="1"/>
    <col min="9" max="9" width="10" style="176" bestFit="1" customWidth="1"/>
    <col min="10" max="10" width="4.7109375" style="1" bestFit="1" customWidth="1"/>
    <col min="11" max="11" width="11" style="73" bestFit="1" customWidth="1"/>
    <col min="12" max="12" width="10.5703125" style="176" bestFit="1" customWidth="1"/>
    <col min="13" max="13" width="13.28515625" style="176" bestFit="1" customWidth="1"/>
    <col min="14" max="16384" width="9.140625" style="176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299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271</v>
      </c>
      <c r="H10" s="7" t="s">
        <v>106</v>
      </c>
      <c r="I10" s="4"/>
      <c r="J10" s="19"/>
      <c r="K10" s="16"/>
    </row>
    <row r="11" spans="1:11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175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271</v>
      </c>
      <c r="H12" s="7" t="s">
        <v>115</v>
      </c>
      <c r="I12" s="4"/>
      <c r="J12" s="19"/>
      <c r="K12" s="16"/>
    </row>
    <row r="13" spans="1:11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149</v>
      </c>
      <c r="H14" s="7"/>
      <c r="I14" s="4"/>
      <c r="J14" s="19"/>
      <c r="K14" s="16"/>
    </row>
    <row r="15" spans="1:11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147</v>
      </c>
      <c r="H15" s="7"/>
      <c r="I15" s="4"/>
      <c r="J15" s="19"/>
      <c r="K15" s="16"/>
    </row>
    <row r="16" spans="1:11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145</v>
      </c>
      <c r="H16" s="7"/>
      <c r="I16" s="4"/>
      <c r="J16" s="19"/>
      <c r="K16" s="16"/>
    </row>
    <row r="17" spans="1:11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147</v>
      </c>
      <c r="H17" s="7"/>
      <c r="I17" s="4"/>
      <c r="J17" s="19"/>
      <c r="K17" s="16"/>
    </row>
    <row r="18" spans="1:11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271</v>
      </c>
      <c r="H18" s="7" t="s">
        <v>157</v>
      </c>
      <c r="I18" s="4"/>
      <c r="J18" s="19"/>
      <c r="K18" s="16"/>
    </row>
    <row r="19" spans="1:11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147</v>
      </c>
      <c r="H19" s="7"/>
      <c r="I19" s="4"/>
      <c r="J19" s="19"/>
      <c r="K19" s="16"/>
    </row>
    <row r="20" spans="1:11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271</v>
      </c>
      <c r="H20" s="7" t="s">
        <v>111</v>
      </c>
      <c r="I20" s="4"/>
      <c r="J20" s="19"/>
      <c r="K20" s="16"/>
    </row>
    <row r="21" spans="1:11">
      <c r="A21" s="15">
        <v>43591</v>
      </c>
      <c r="B21" s="4">
        <v>42019</v>
      </c>
      <c r="C21" s="4" t="s">
        <v>188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145</v>
      </c>
      <c r="H22" s="7"/>
      <c r="I22" s="4"/>
      <c r="J22" s="19"/>
      <c r="K22" s="16"/>
    </row>
    <row r="23" spans="1:11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272</v>
      </c>
      <c r="H23" s="7" t="s">
        <v>275</v>
      </c>
      <c r="I23" s="4">
        <v>5</v>
      </c>
      <c r="J23" s="19">
        <v>1</v>
      </c>
      <c r="K23" s="16"/>
    </row>
    <row r="24" spans="1:11">
      <c r="A24" s="15">
        <v>43592</v>
      </c>
      <c r="B24" s="4">
        <v>309379</v>
      </c>
      <c r="C24" s="4" t="s">
        <v>172</v>
      </c>
      <c r="D24" s="77">
        <v>86793.21</v>
      </c>
      <c r="E24" s="5"/>
      <c r="F24" s="6">
        <f t="shared" si="0"/>
        <v>-87266.629999999976</v>
      </c>
      <c r="G24" s="9" t="s">
        <v>270</v>
      </c>
      <c r="H24" s="7"/>
      <c r="I24" s="4"/>
      <c r="J24" s="19"/>
      <c r="K24" s="16"/>
    </row>
    <row r="25" spans="1:11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174</v>
      </c>
      <c r="H26" s="7" t="s">
        <v>276</v>
      </c>
      <c r="I26" s="4">
        <v>3</v>
      </c>
      <c r="J26" s="19">
        <v>3</v>
      </c>
      <c r="K26" s="16">
        <v>43590</v>
      </c>
    </row>
    <row r="27" spans="1:11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174</v>
      </c>
      <c r="H27" s="7" t="s">
        <v>302</v>
      </c>
      <c r="I27" s="4">
        <v>55</v>
      </c>
      <c r="J27" s="19">
        <v>1</v>
      </c>
      <c r="K27" s="16">
        <v>43588</v>
      </c>
    </row>
    <row r="28" spans="1:11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174</v>
      </c>
      <c r="H28" s="7" t="s">
        <v>183</v>
      </c>
      <c r="I28" s="4">
        <v>20</v>
      </c>
      <c r="J28" s="19">
        <v>11</v>
      </c>
      <c r="K28" s="16">
        <v>43588</v>
      </c>
    </row>
    <row r="29" spans="1:11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174</v>
      </c>
      <c r="H29" s="7" t="s">
        <v>128</v>
      </c>
      <c r="I29" s="4">
        <v>36</v>
      </c>
      <c r="J29" s="19">
        <v>8</v>
      </c>
      <c r="K29" s="16">
        <v>43592</v>
      </c>
    </row>
    <row r="30" spans="1:11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174</v>
      </c>
      <c r="H30" s="7" t="s">
        <v>224</v>
      </c>
      <c r="I30" s="4">
        <v>21</v>
      </c>
      <c r="J30" s="19">
        <v>2</v>
      </c>
      <c r="K30" s="16">
        <v>43588</v>
      </c>
    </row>
    <row r="31" spans="1:11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174</v>
      </c>
      <c r="H31" s="7" t="s">
        <v>127</v>
      </c>
      <c r="I31" s="4">
        <v>66</v>
      </c>
      <c r="J31" s="19">
        <v>1</v>
      </c>
      <c r="K31" s="16">
        <v>43591</v>
      </c>
    </row>
    <row r="32" spans="1:11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174</v>
      </c>
      <c r="H32" s="7" t="s">
        <v>180</v>
      </c>
      <c r="I32" s="4">
        <v>68</v>
      </c>
      <c r="J32" s="19">
        <v>11</v>
      </c>
      <c r="K32" s="16">
        <v>43573</v>
      </c>
    </row>
    <row r="33" spans="1:11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174</v>
      </c>
      <c r="H33" s="7" t="s">
        <v>61</v>
      </c>
      <c r="I33" s="4">
        <v>34</v>
      </c>
      <c r="J33" s="19">
        <v>7</v>
      </c>
      <c r="K33" s="16">
        <v>43591</v>
      </c>
    </row>
    <row r="34" spans="1:11">
      <c r="A34" s="15">
        <v>43595</v>
      </c>
      <c r="B34" s="4">
        <v>730211</v>
      </c>
      <c r="C34" s="4" t="s">
        <v>216</v>
      </c>
      <c r="D34" s="77">
        <v>2512.16</v>
      </c>
      <c r="E34" s="5"/>
      <c r="F34" s="6">
        <f t="shared" si="0"/>
        <v>-91563.950000000012</v>
      </c>
      <c r="G34" s="9" t="s">
        <v>218</v>
      </c>
      <c r="H34" s="7" t="s">
        <v>222</v>
      </c>
      <c r="I34" s="4">
        <v>889214744</v>
      </c>
      <c r="J34" s="19">
        <v>1</v>
      </c>
      <c r="K34" s="16"/>
    </row>
    <row r="35" spans="1:11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145</v>
      </c>
      <c r="H35" s="7"/>
      <c r="I35" s="4"/>
      <c r="J35" s="19"/>
      <c r="K35" s="16"/>
    </row>
    <row r="36" spans="1:11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234</v>
      </c>
      <c r="H36" s="7"/>
      <c r="I36" s="4"/>
      <c r="J36" s="19"/>
      <c r="K36" s="16"/>
    </row>
    <row r="37" spans="1:11">
      <c r="A37" s="15">
        <v>43600</v>
      </c>
      <c r="B37" s="4">
        <v>224841</v>
      </c>
      <c r="C37" s="4" t="s">
        <v>173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223</v>
      </c>
      <c r="I37" s="4">
        <v>436</v>
      </c>
      <c r="J37" s="19">
        <v>12</v>
      </c>
      <c r="K37" s="16">
        <v>43588</v>
      </c>
    </row>
    <row r="38" spans="1:11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174</v>
      </c>
      <c r="H38" s="7" t="s">
        <v>189</v>
      </c>
      <c r="I38" s="4">
        <v>9</v>
      </c>
      <c r="J38" s="19">
        <v>9</v>
      </c>
      <c r="K38" s="16">
        <v>43593</v>
      </c>
    </row>
    <row r="39" spans="1:11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231</v>
      </c>
      <c r="H39" s="7" t="s">
        <v>303</v>
      </c>
      <c r="I39" s="4">
        <v>2119</v>
      </c>
      <c r="J39" s="19">
        <v>1</v>
      </c>
      <c r="K39" s="16">
        <v>43572</v>
      </c>
    </row>
    <row r="40" spans="1:11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145</v>
      </c>
      <c r="H40" s="7"/>
      <c r="I40" s="4"/>
      <c r="J40" s="19"/>
      <c r="K40" s="16"/>
    </row>
    <row r="41" spans="1:11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145</v>
      </c>
      <c r="H41" s="7"/>
      <c r="I41" s="4"/>
      <c r="J41" s="19"/>
      <c r="K41" s="16"/>
    </row>
    <row r="42" spans="1:11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307</v>
      </c>
      <c r="H42" s="7" t="s">
        <v>304</v>
      </c>
      <c r="I42" s="4">
        <v>3150</v>
      </c>
      <c r="J42" s="19">
        <v>1</v>
      </c>
      <c r="K42" s="16">
        <v>43571</v>
      </c>
    </row>
    <row r="43" spans="1:11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145</v>
      </c>
      <c r="H43" s="7"/>
      <c r="I43" s="4"/>
      <c r="J43" s="19"/>
      <c r="K43" s="16"/>
    </row>
    <row r="44" spans="1:11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273</v>
      </c>
      <c r="H45" s="7" t="s">
        <v>257</v>
      </c>
      <c r="I45" s="4">
        <v>62</v>
      </c>
      <c r="J45" s="19">
        <v>1</v>
      </c>
      <c r="K45" s="16"/>
    </row>
    <row r="46" spans="1:11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282</v>
      </c>
      <c r="H47" s="7" t="s">
        <v>256</v>
      </c>
      <c r="I47" s="4">
        <v>41</v>
      </c>
      <c r="J47" s="19">
        <v>1</v>
      </c>
      <c r="K47" s="16"/>
    </row>
    <row r="48" spans="1:11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282</v>
      </c>
      <c r="H48" s="7" t="s">
        <v>256</v>
      </c>
      <c r="I48" s="4">
        <v>32</v>
      </c>
      <c r="J48" s="19">
        <v>1</v>
      </c>
      <c r="K48" s="16"/>
    </row>
    <row r="49" spans="1:11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282</v>
      </c>
      <c r="H49" s="7" t="s">
        <v>256</v>
      </c>
      <c r="I49" s="4">
        <v>38</v>
      </c>
      <c r="J49" s="19">
        <v>1</v>
      </c>
      <c r="K49" s="16"/>
    </row>
    <row r="50" spans="1:11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150</v>
      </c>
      <c r="H50" s="7" t="s">
        <v>161</v>
      </c>
      <c r="I50" s="4">
        <v>1364307</v>
      </c>
      <c r="J50" s="19">
        <v>1</v>
      </c>
      <c r="K50" s="16"/>
    </row>
    <row r="51" spans="1:11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234</v>
      </c>
      <c r="H51" s="7"/>
      <c r="I51" s="4"/>
      <c r="J51" s="19"/>
      <c r="K51" s="16"/>
    </row>
    <row r="52" spans="1:11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174</v>
      </c>
      <c r="H52" s="7" t="s">
        <v>180</v>
      </c>
      <c r="I52" s="4">
        <v>73</v>
      </c>
      <c r="J52" s="19">
        <v>12</v>
      </c>
      <c r="K52" s="16">
        <v>43605</v>
      </c>
    </row>
    <row r="53" spans="1:11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176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24" t="s">
        <v>12</v>
      </c>
      <c r="B55" s="325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299" t="s">
        <v>123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</row>
    <row r="61" spans="1:11" ht="18" customHeight="1"/>
    <row r="62" spans="1:11" ht="18" customHeight="1">
      <c r="A62" s="318" t="s">
        <v>300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19" t="s">
        <v>21</v>
      </c>
      <c r="B64" s="320"/>
      <c r="C64" s="320"/>
      <c r="D64" s="320"/>
      <c r="E64" s="321"/>
      <c r="F64" s="3"/>
      <c r="G64" s="322" t="s">
        <v>20</v>
      </c>
      <c r="H64" s="322"/>
      <c r="I64" s="322"/>
      <c r="J64" s="322"/>
      <c r="K64" s="24"/>
    </row>
    <row r="65" spans="1:11">
      <c r="A65" s="28" t="s">
        <v>233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147</v>
      </c>
      <c r="H65" s="26"/>
      <c r="I65" s="306">
        <f>SUMIF($G$8:$G$54,G65,$E$8:$E$54)</f>
        <v>265997.75</v>
      </c>
      <c r="J65" s="307"/>
      <c r="K65" s="24"/>
    </row>
    <row r="66" spans="1:11">
      <c r="A66" s="27" t="s">
        <v>149</v>
      </c>
      <c r="B66" s="63"/>
      <c r="C66" s="63"/>
      <c r="D66" s="80"/>
      <c r="E66" s="29">
        <f t="shared" si="1"/>
        <v>265997.75</v>
      </c>
      <c r="F66" s="3"/>
      <c r="G66" s="316" t="s">
        <v>145</v>
      </c>
      <c r="H66" s="317"/>
      <c r="I66" s="306">
        <f>SUMIF($G$8:$G$54,G66,$E$8:$E$54)</f>
        <v>226626.28</v>
      </c>
      <c r="J66" s="307"/>
      <c r="K66" s="24"/>
    </row>
    <row r="67" spans="1:11">
      <c r="A67" s="27" t="s">
        <v>174</v>
      </c>
      <c r="B67" s="63"/>
      <c r="C67" s="63"/>
      <c r="D67" s="80"/>
      <c r="E67" s="29">
        <f t="shared" si="1"/>
        <v>95158.930000000008</v>
      </c>
      <c r="F67" s="3"/>
      <c r="G67" s="316" t="s">
        <v>289</v>
      </c>
      <c r="H67" s="317"/>
      <c r="I67" s="306">
        <f>SUMIF($G$8:$G$54,G67,$E$8:$E$54)</f>
        <v>0</v>
      </c>
      <c r="J67" s="307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16" t="s">
        <v>234</v>
      </c>
      <c r="H68" s="317"/>
      <c r="I68" s="306">
        <f>SUMIF($G$8:$G$54,G68,$E$8:$E$54)</f>
        <v>20631.810000000001</v>
      </c>
      <c r="J68" s="307"/>
      <c r="K68" s="24"/>
    </row>
    <row r="69" spans="1:11">
      <c r="A69" s="27" t="s">
        <v>255</v>
      </c>
      <c r="B69" s="63"/>
      <c r="C69" s="63"/>
      <c r="D69" s="80"/>
      <c r="E69" s="29">
        <f t="shared" si="1"/>
        <v>0</v>
      </c>
      <c r="F69" s="3"/>
      <c r="G69" s="62"/>
      <c r="H69" s="26"/>
      <c r="I69" s="306">
        <f>SUMIF($G$8:$G$54,G69,$E$8:$E$54)</f>
        <v>0</v>
      </c>
      <c r="J69" s="307"/>
      <c r="K69" s="24"/>
    </row>
    <row r="70" spans="1:11">
      <c r="A70" s="27" t="s">
        <v>175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302">
        <f>SUM(I65:J69)</f>
        <v>513255.84</v>
      </c>
      <c r="J70" s="303"/>
      <c r="K70" s="61">
        <f>E55-I70</f>
        <v>0</v>
      </c>
    </row>
    <row r="71" spans="1:11">
      <c r="A71" s="62" t="s">
        <v>221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>
      <c r="A72" s="27" t="s">
        <v>271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>
      <c r="A73" s="27" t="s">
        <v>25</v>
      </c>
      <c r="B73" s="63"/>
      <c r="C73" s="63"/>
      <c r="D73" s="80"/>
      <c r="E73" s="29">
        <f t="shared" si="1"/>
        <v>0</v>
      </c>
      <c r="F73" s="3"/>
      <c r="G73" s="174" t="s">
        <v>19</v>
      </c>
      <c r="H73" s="175"/>
      <c r="I73" s="306">
        <f>'CEF Abril 2019'!I79:J79</f>
        <v>161645.24999999994</v>
      </c>
      <c r="J73" s="307"/>
    </row>
    <row r="74" spans="1:11">
      <c r="A74" s="27" t="s">
        <v>270</v>
      </c>
      <c r="B74" s="63"/>
      <c r="C74" s="63"/>
      <c r="D74" s="80"/>
      <c r="E74" s="29">
        <f t="shared" si="1"/>
        <v>86793.21</v>
      </c>
      <c r="F74" s="3"/>
      <c r="G74" s="27" t="s">
        <v>149</v>
      </c>
      <c r="H74" s="175"/>
      <c r="I74" s="306">
        <f>SUMIF($G$8:$G$54,G74,$D$8:$D$54)</f>
        <v>265997.75</v>
      </c>
      <c r="J74" s="307"/>
    </row>
    <row r="75" spans="1:11">
      <c r="A75" s="27" t="s">
        <v>219</v>
      </c>
      <c r="B75" s="63"/>
      <c r="C75" s="63"/>
      <c r="D75" s="80"/>
      <c r="E75" s="29">
        <f t="shared" si="1"/>
        <v>0</v>
      </c>
      <c r="F75" s="3"/>
      <c r="G75" s="316" t="s">
        <v>145</v>
      </c>
      <c r="H75" s="317"/>
      <c r="I75" s="306">
        <f>-SUMIF($G$8:$G$54,G75,$E$8:$E$54)</f>
        <v>-226626.28</v>
      </c>
      <c r="J75" s="307"/>
    </row>
    <row r="76" spans="1:11">
      <c r="A76" s="27" t="s">
        <v>29</v>
      </c>
      <c r="B76" s="63"/>
      <c r="C76" s="63"/>
      <c r="D76" s="80"/>
      <c r="E76" s="29">
        <f t="shared" si="1"/>
        <v>9214.51</v>
      </c>
      <c r="F76" s="3"/>
      <c r="G76" s="174" t="s">
        <v>30</v>
      </c>
      <c r="H76" s="175"/>
      <c r="I76" s="306">
        <v>1206.6600000000001</v>
      </c>
      <c r="J76" s="307"/>
    </row>
    <row r="77" spans="1:11">
      <c r="A77" s="27" t="s">
        <v>282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314"/>
      <c r="J77" s="315"/>
    </row>
    <row r="78" spans="1:11">
      <c r="A78" s="27" t="s">
        <v>273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310">
        <f>SUM(I73:J76)</f>
        <v>202223.37999999995</v>
      </c>
      <c r="J78" s="311"/>
    </row>
    <row r="79" spans="1:11">
      <c r="A79" s="27" t="s">
        <v>218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73"/>
      <c r="K79" s="24"/>
    </row>
    <row r="80" spans="1:11">
      <c r="A80" s="27" t="s">
        <v>307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312"/>
      <c r="J80" s="313"/>
      <c r="K80" s="24"/>
    </row>
    <row r="81" spans="1:13">
      <c r="A81" s="27" t="s">
        <v>231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304">
        <f>'CEF Março 2019'!I88:J88</f>
        <v>0</v>
      </c>
      <c r="J81" s="305"/>
      <c r="K81" s="24"/>
    </row>
    <row r="82" spans="1:13">
      <c r="A82" s="27" t="s">
        <v>150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75"/>
      <c r="I82" s="306">
        <f>SUMIF($G$8:$G$54,G82,$E$8:$E$54)</f>
        <v>0</v>
      </c>
      <c r="J82" s="307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174" t="s">
        <v>14</v>
      </c>
      <c r="H83" s="175"/>
      <c r="I83" s="306">
        <f>-SUMIF($G$8:$G$54,G83,$D$8:$D$54)</f>
        <v>0</v>
      </c>
      <c r="J83" s="307"/>
      <c r="K83" s="24"/>
    </row>
    <row r="84" spans="1:13">
      <c r="A84" s="27" t="s">
        <v>151</v>
      </c>
      <c r="B84" s="41"/>
      <c r="C84" s="41"/>
      <c r="D84" s="80"/>
      <c r="E84" s="29">
        <f t="shared" si="1"/>
        <v>0</v>
      </c>
      <c r="F84" s="3"/>
      <c r="G84" s="30"/>
      <c r="H84" s="31"/>
      <c r="I84" s="314"/>
      <c r="J84" s="315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302">
        <f>SUM(I81:J84)</f>
        <v>0</v>
      </c>
      <c r="J85" s="303"/>
      <c r="K85" s="24"/>
    </row>
    <row r="86" spans="1:13">
      <c r="A86" s="27" t="s">
        <v>176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73"/>
      <c r="K86" s="24"/>
    </row>
    <row r="87" spans="1:13">
      <c r="A87" s="27" t="s">
        <v>272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74" t="s">
        <v>19</v>
      </c>
      <c r="H88" s="175"/>
      <c r="I88" s="308">
        <f>'CEF Abril 2019'!I93:J93</f>
        <v>35282.169999999984</v>
      </c>
      <c r="J88" s="309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174" t="s">
        <v>42</v>
      </c>
      <c r="H89" s="175"/>
      <c r="I89" s="291">
        <f>249997.75+16000+16408.72</f>
        <v>282406.46999999997</v>
      </c>
      <c r="J89" s="292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174" t="s">
        <v>147</v>
      </c>
      <c r="H90" s="175"/>
      <c r="I90" s="306">
        <f>-SUMIF($G$8:$G$54,G90,$E$8:$E$54)</f>
        <v>-265997.75</v>
      </c>
      <c r="J90" s="307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0"/>
      <c r="H91" s="31"/>
      <c r="I91" s="300"/>
      <c r="J91" s="301"/>
      <c r="K91" s="24"/>
      <c r="L91" s="46">
        <f>I88-I92</f>
        <v>-16408.719999999972</v>
      </c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310">
        <f>SUM(I88:J91)</f>
        <v>51690.889999999956</v>
      </c>
      <c r="J92" s="311"/>
      <c r="K92" s="24"/>
      <c r="M92" s="39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304">
        <f>'CEF Abril 2019'!I100:J100</f>
        <v>15533.580000000009</v>
      </c>
      <c r="J95" s="305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 t="s">
        <v>305</v>
      </c>
      <c r="H96" s="41"/>
      <c r="I96" s="306">
        <v>15542.43</v>
      </c>
      <c r="J96" s="307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306"/>
      <c r="J97" s="307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9" t="s">
        <v>176</v>
      </c>
      <c r="H98" s="60"/>
      <c r="I98" s="300">
        <f>-SUMIF($G$8:$G$54,G98,$D$8:$D$54)</f>
        <v>-15533.58</v>
      </c>
      <c r="J98" s="301"/>
      <c r="K98" s="24"/>
    </row>
    <row r="99" spans="1:11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302">
        <f>SUM(I95:J98)</f>
        <v>15542.430000000009</v>
      </c>
      <c r="J99" s="303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7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306</v>
      </c>
      <c r="H102" s="175"/>
      <c r="I102" s="291">
        <v>32693.41</v>
      </c>
      <c r="J102" s="292"/>
      <c r="K102" s="24"/>
    </row>
    <row r="103" spans="1:11">
      <c r="A103" s="297" t="s">
        <v>22</v>
      </c>
      <c r="B103" s="298"/>
      <c r="C103" s="298"/>
      <c r="D103" s="81"/>
      <c r="E103" s="35">
        <f>SUM(E65:E101)</f>
        <v>509758.21</v>
      </c>
      <c r="F103" s="3"/>
      <c r="G103" s="27"/>
      <c r="H103" s="175"/>
      <c r="I103" s="291"/>
      <c r="J103" s="292"/>
      <c r="K103" s="24"/>
    </row>
    <row r="104" spans="1:11">
      <c r="E104" s="46">
        <f>D55-E103</f>
        <v>0</v>
      </c>
      <c r="F104" s="3"/>
      <c r="G104" s="27"/>
      <c r="H104" s="41"/>
      <c r="I104" s="295"/>
      <c r="J104" s="296"/>
      <c r="K104" s="24"/>
    </row>
    <row r="105" spans="1:11">
      <c r="F105" s="3"/>
      <c r="G105" s="89" t="s">
        <v>18</v>
      </c>
      <c r="H105" s="88"/>
      <c r="I105" s="302">
        <f>SUM(I102:J104)</f>
        <v>32693.41</v>
      </c>
      <c r="J105" s="303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76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101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I65" sqref="I65:J65"/>
    </sheetView>
  </sheetViews>
  <sheetFormatPr defaultRowHeight="15"/>
  <cols>
    <col min="1" max="1" width="28.140625" style="178" customWidth="1"/>
    <col min="2" max="2" width="17.7109375" style="178" customWidth="1"/>
    <col min="3" max="3" width="17.140625" style="178" customWidth="1"/>
    <col min="4" max="4" width="16.85546875" style="178" customWidth="1"/>
    <col min="5" max="5" width="17.85546875" style="178" customWidth="1"/>
    <col min="6" max="6" width="19.140625" style="178" customWidth="1"/>
    <col min="7" max="7" width="9.5703125" style="178" bestFit="1" customWidth="1"/>
    <col min="8" max="8" width="13.28515625" style="178" bestFit="1" customWidth="1"/>
    <col min="9" max="11" width="9.140625" style="178"/>
    <col min="12" max="12" width="11.7109375" style="178" bestFit="1" customWidth="1"/>
    <col min="13" max="13" width="10.140625" style="178" bestFit="1" customWidth="1"/>
    <col min="14" max="16384" width="9.140625" style="178"/>
  </cols>
  <sheetData>
    <row r="1" spans="1:6" ht="15.75" thickBot="1"/>
    <row r="2" spans="1:6" ht="15.75" thickBot="1">
      <c r="A2" s="184" t="s">
        <v>251</v>
      </c>
      <c r="B2" s="128">
        <v>161645.25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1206.6600000000001</v>
      </c>
      <c r="C4" s="41"/>
      <c r="D4" s="144"/>
      <c r="E4" s="41"/>
      <c r="F4" s="41"/>
    </row>
    <row r="5" spans="1:6" ht="15.75" thickBot="1">
      <c r="A5" s="177"/>
      <c r="B5" s="129">
        <v>20631.810000000001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449481.47</v>
      </c>
      <c r="C7" s="165"/>
      <c r="D7" s="144">
        <v>205721.01</v>
      </c>
      <c r="E7" s="185">
        <f>B7-D7</f>
        <v>243760.45999999996</v>
      </c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155399.28</v>
      </c>
      <c r="C11" s="115">
        <f>11650+10389.48+86793.21+9214.51+3371.34+59.5+469.2+473.42+538.8</f>
        <v>122959.45999999999</v>
      </c>
      <c r="D11" s="115"/>
      <c r="E11" s="166">
        <f t="shared" ref="E11:E26" si="0">C11+D11</f>
        <v>122959.45999999999</v>
      </c>
      <c r="F11" s="134">
        <f>421877.23+939.67+11336.94+9690.74</f>
        <v>443844.57999999996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104080</v>
      </c>
      <c r="C17" s="115">
        <f>2352+95158.93+1248.15+2512.16+3897.18</f>
        <v>105168.41999999998</v>
      </c>
      <c r="D17" s="115"/>
      <c r="E17" s="166">
        <f t="shared" si="0"/>
        <v>105168.41999999998</v>
      </c>
      <c r="F17" s="134">
        <f>11926.4+12982.1+104680</f>
        <v>129588.5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15542.43</v>
      </c>
      <c r="C26" s="151">
        <v>15533.58</v>
      </c>
      <c r="D26" s="111"/>
      <c r="E26" s="166">
        <f t="shared" si="0"/>
        <v>15533.58</v>
      </c>
      <c r="F26" s="115">
        <v>15542.43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0" ht="24.95" customHeight="1" thickBot="1">
      <c r="A28" s="113" t="s">
        <v>194</v>
      </c>
      <c r="B28" s="152">
        <f>SUM(B11:B27)</f>
        <v>275021.71000000002</v>
      </c>
      <c r="C28" s="152">
        <f>SUM(C11:C27)</f>
        <v>243661.45999999996</v>
      </c>
      <c r="D28" s="152">
        <f>SUM(D11:D27)</f>
        <v>99</v>
      </c>
      <c r="E28" s="152">
        <f>SUM(E11:E27)</f>
        <v>243760.45999999996</v>
      </c>
      <c r="F28" s="152">
        <f>SUM(F11:F27)</f>
        <v>588975.51</v>
      </c>
      <c r="H28" s="46">
        <f>3035859.9-2446884.39</f>
        <v>588975.50999999978</v>
      </c>
      <c r="J28" s="46">
        <f>F28-H28</f>
        <v>0</v>
      </c>
    </row>
    <row r="31" spans="1:10">
      <c r="A31" s="332" t="s">
        <v>233</v>
      </c>
      <c r="B31" s="333" t="s">
        <v>233</v>
      </c>
      <c r="C31" s="333" t="s">
        <v>233</v>
      </c>
      <c r="D31" s="334" t="s">
        <v>233</v>
      </c>
      <c r="E31" s="182">
        <v>0</v>
      </c>
    </row>
    <row r="32" spans="1:10">
      <c r="A32" s="332" t="s">
        <v>149</v>
      </c>
      <c r="B32" s="333" t="s">
        <v>149</v>
      </c>
      <c r="C32" s="333" t="s">
        <v>149</v>
      </c>
      <c r="D32" s="334" t="s">
        <v>149</v>
      </c>
      <c r="E32" s="182"/>
      <c r="F32" s="182">
        <v>265997.75</v>
      </c>
    </row>
    <row r="33" spans="1:7">
      <c r="A33" s="332" t="s">
        <v>174</v>
      </c>
      <c r="B33" s="333" t="s">
        <v>174</v>
      </c>
      <c r="C33" s="333" t="s">
        <v>174</v>
      </c>
      <c r="D33" s="334" t="s">
        <v>174</v>
      </c>
      <c r="E33" s="182">
        <v>95158.930000000008</v>
      </c>
      <c r="F33" s="178" t="s">
        <v>193</v>
      </c>
    </row>
    <row r="34" spans="1:7">
      <c r="A34" s="332" t="s">
        <v>177</v>
      </c>
      <c r="B34" s="333" t="s">
        <v>177</v>
      </c>
      <c r="C34" s="333" t="s">
        <v>177</v>
      </c>
      <c r="D34" s="334" t="s">
        <v>177</v>
      </c>
      <c r="E34" s="182">
        <v>0</v>
      </c>
    </row>
    <row r="35" spans="1:7">
      <c r="A35" s="332" t="s">
        <v>255</v>
      </c>
      <c r="B35" s="333" t="s">
        <v>255</v>
      </c>
      <c r="C35" s="333" t="s">
        <v>255</v>
      </c>
      <c r="D35" s="334" t="s">
        <v>255</v>
      </c>
      <c r="E35" s="182">
        <v>0</v>
      </c>
    </row>
    <row r="36" spans="1:7">
      <c r="A36" s="332" t="s">
        <v>175</v>
      </c>
      <c r="B36" s="333" t="s">
        <v>175</v>
      </c>
      <c r="C36" s="333" t="s">
        <v>175</v>
      </c>
      <c r="D36" s="334" t="s">
        <v>175</v>
      </c>
      <c r="E36" s="182">
        <v>11650</v>
      </c>
      <c r="F36" s="178" t="s">
        <v>193</v>
      </c>
    </row>
    <row r="37" spans="1:7">
      <c r="A37" s="332" t="s">
        <v>221</v>
      </c>
      <c r="B37" s="333" t="s">
        <v>221</v>
      </c>
      <c r="C37" s="333" t="s">
        <v>221</v>
      </c>
      <c r="D37" s="334" t="s">
        <v>221</v>
      </c>
      <c r="E37" s="182">
        <v>0</v>
      </c>
      <c r="F37" s="39"/>
    </row>
    <row r="38" spans="1:7">
      <c r="A38" s="332" t="s">
        <v>271</v>
      </c>
      <c r="B38" s="333" t="s">
        <v>271</v>
      </c>
      <c r="C38" s="333" t="s">
        <v>271</v>
      </c>
      <c r="D38" s="334" t="s">
        <v>271</v>
      </c>
      <c r="E38" s="182">
        <v>10389.48</v>
      </c>
      <c r="F38" s="178" t="s">
        <v>193</v>
      </c>
    </row>
    <row r="39" spans="1:7">
      <c r="A39" s="332" t="s">
        <v>25</v>
      </c>
      <c r="B39" s="333" t="s">
        <v>25</v>
      </c>
      <c r="C39" s="333" t="s">
        <v>25</v>
      </c>
      <c r="D39" s="334" t="s">
        <v>25</v>
      </c>
      <c r="E39" s="182">
        <v>0</v>
      </c>
    </row>
    <row r="40" spans="1:7">
      <c r="A40" s="332" t="s">
        <v>270</v>
      </c>
      <c r="B40" s="333" t="s">
        <v>270</v>
      </c>
      <c r="C40" s="333" t="s">
        <v>270</v>
      </c>
      <c r="D40" s="334" t="s">
        <v>270</v>
      </c>
      <c r="E40" s="182">
        <v>86793.21</v>
      </c>
      <c r="F40" s="178" t="s">
        <v>193</v>
      </c>
    </row>
    <row r="41" spans="1:7">
      <c r="A41" s="332" t="s">
        <v>219</v>
      </c>
      <c r="B41" s="333" t="s">
        <v>219</v>
      </c>
      <c r="C41" s="333" t="s">
        <v>219</v>
      </c>
      <c r="D41" s="334" t="s">
        <v>219</v>
      </c>
      <c r="E41" s="182">
        <v>0</v>
      </c>
    </row>
    <row r="42" spans="1:7">
      <c r="A42" s="332" t="s">
        <v>29</v>
      </c>
      <c r="B42" s="333" t="s">
        <v>29</v>
      </c>
      <c r="C42" s="333" t="s">
        <v>29</v>
      </c>
      <c r="D42" s="334" t="s">
        <v>29</v>
      </c>
      <c r="E42" s="182">
        <v>9214.51</v>
      </c>
      <c r="F42" s="178" t="s">
        <v>193</v>
      </c>
    </row>
    <row r="43" spans="1:7">
      <c r="A43" s="332" t="s">
        <v>282</v>
      </c>
      <c r="B43" s="333" t="s">
        <v>282</v>
      </c>
      <c r="C43" s="333" t="s">
        <v>282</v>
      </c>
      <c r="D43" s="334" t="s">
        <v>282</v>
      </c>
      <c r="E43" s="182">
        <v>3371.34</v>
      </c>
      <c r="F43" s="178" t="s">
        <v>193</v>
      </c>
    </row>
    <row r="44" spans="1:7">
      <c r="A44" s="332" t="s">
        <v>273</v>
      </c>
      <c r="B44" s="333" t="s">
        <v>273</v>
      </c>
      <c r="C44" s="333" t="s">
        <v>273</v>
      </c>
      <c r="D44" s="334" t="s">
        <v>273</v>
      </c>
      <c r="E44" s="182">
        <v>1248.1500000000001</v>
      </c>
      <c r="F44" s="178" t="s">
        <v>193</v>
      </c>
    </row>
    <row r="45" spans="1:7">
      <c r="A45" s="332" t="s">
        <v>218</v>
      </c>
      <c r="B45" s="333" t="s">
        <v>218</v>
      </c>
      <c r="C45" s="333" t="s">
        <v>218</v>
      </c>
      <c r="D45" s="334" t="s">
        <v>218</v>
      </c>
      <c r="E45" s="182">
        <v>2512.16</v>
      </c>
      <c r="F45" s="178" t="s">
        <v>193</v>
      </c>
      <c r="G45" s="46"/>
    </row>
    <row r="46" spans="1:7">
      <c r="A46" s="332" t="s">
        <v>307</v>
      </c>
      <c r="B46" s="333" t="s">
        <v>301</v>
      </c>
      <c r="C46" s="333" t="s">
        <v>301</v>
      </c>
      <c r="D46" s="334" t="s">
        <v>301</v>
      </c>
      <c r="E46" s="182">
        <v>538.79999999999995</v>
      </c>
      <c r="F46" s="178" t="s">
        <v>193</v>
      </c>
    </row>
    <row r="47" spans="1:7">
      <c r="A47" s="332" t="s">
        <v>231</v>
      </c>
      <c r="B47" s="333" t="s">
        <v>231</v>
      </c>
      <c r="C47" s="333" t="s">
        <v>231</v>
      </c>
      <c r="D47" s="334" t="s">
        <v>231</v>
      </c>
      <c r="E47" s="182">
        <v>59.5</v>
      </c>
      <c r="F47" s="178" t="s">
        <v>193</v>
      </c>
    </row>
    <row r="48" spans="1:7">
      <c r="A48" s="332" t="s">
        <v>150</v>
      </c>
      <c r="B48" s="333" t="s">
        <v>150</v>
      </c>
      <c r="C48" s="333" t="s">
        <v>150</v>
      </c>
      <c r="D48" s="334" t="s">
        <v>150</v>
      </c>
      <c r="E48" s="182">
        <v>469.2</v>
      </c>
      <c r="F48" s="178" t="s">
        <v>193</v>
      </c>
    </row>
    <row r="49" spans="1:6">
      <c r="A49" s="332" t="s">
        <v>220</v>
      </c>
      <c r="B49" s="333" t="s">
        <v>220</v>
      </c>
      <c r="C49" s="333" t="s">
        <v>220</v>
      </c>
      <c r="D49" s="334" t="s">
        <v>220</v>
      </c>
      <c r="E49" s="182">
        <v>0</v>
      </c>
    </row>
    <row r="50" spans="1:6">
      <c r="A50" s="332" t="s">
        <v>151</v>
      </c>
      <c r="B50" s="333" t="s">
        <v>151</v>
      </c>
      <c r="C50" s="333" t="s">
        <v>151</v>
      </c>
      <c r="D50" s="334" t="s">
        <v>151</v>
      </c>
      <c r="E50" s="182">
        <v>0</v>
      </c>
    </row>
    <row r="51" spans="1:6">
      <c r="A51" s="332" t="s">
        <v>49</v>
      </c>
      <c r="B51" s="333" t="s">
        <v>49</v>
      </c>
      <c r="C51" s="333" t="s">
        <v>49</v>
      </c>
      <c r="D51" s="334" t="s">
        <v>49</v>
      </c>
      <c r="E51" s="182">
        <v>0</v>
      </c>
    </row>
    <row r="52" spans="1:6">
      <c r="A52" s="332" t="s">
        <v>176</v>
      </c>
      <c r="B52" s="333" t="s">
        <v>176</v>
      </c>
      <c r="C52" s="333" t="s">
        <v>176</v>
      </c>
      <c r="D52" s="334" t="s">
        <v>176</v>
      </c>
      <c r="E52" s="182">
        <v>15533.58</v>
      </c>
      <c r="F52" s="178" t="s">
        <v>193</v>
      </c>
    </row>
    <row r="53" spans="1:6">
      <c r="A53" s="332" t="s">
        <v>272</v>
      </c>
      <c r="B53" s="333" t="s">
        <v>272</v>
      </c>
      <c r="C53" s="333" t="s">
        <v>272</v>
      </c>
      <c r="D53" s="334" t="s">
        <v>272</v>
      </c>
      <c r="E53" s="182">
        <v>473.42</v>
      </c>
      <c r="F53" s="178" t="s">
        <v>193</v>
      </c>
    </row>
    <row r="54" spans="1:6">
      <c r="A54" s="332" t="s">
        <v>43</v>
      </c>
      <c r="B54" s="333" t="s">
        <v>43</v>
      </c>
      <c r="C54" s="333" t="s">
        <v>43</v>
      </c>
      <c r="D54" s="334" t="s">
        <v>43</v>
      </c>
      <c r="E54" s="182">
        <v>3897.1800000000003</v>
      </c>
      <c r="F54" s="178" t="s">
        <v>193</v>
      </c>
    </row>
    <row r="55" spans="1:6">
      <c r="A55" s="332" t="s">
        <v>274</v>
      </c>
      <c r="B55" s="333" t="s">
        <v>274</v>
      </c>
      <c r="C55" s="333" t="s">
        <v>274</v>
      </c>
      <c r="D55" s="334" t="s">
        <v>274</v>
      </c>
      <c r="E55" s="182">
        <v>0</v>
      </c>
    </row>
    <row r="56" spans="1:6">
      <c r="A56" s="332" t="s">
        <v>179</v>
      </c>
      <c r="B56" s="333" t="s">
        <v>179</v>
      </c>
      <c r="C56" s="333" t="s">
        <v>179</v>
      </c>
      <c r="D56" s="334" t="s">
        <v>179</v>
      </c>
      <c r="E56" s="182">
        <v>0</v>
      </c>
    </row>
    <row r="57" spans="1:6">
      <c r="A57" s="332" t="s">
        <v>146</v>
      </c>
      <c r="B57" s="333" t="s">
        <v>146</v>
      </c>
      <c r="C57" s="333" t="s">
        <v>146</v>
      </c>
      <c r="D57" s="334" t="s">
        <v>146</v>
      </c>
      <c r="E57" s="182">
        <v>0</v>
      </c>
    </row>
    <row r="58" spans="1:6">
      <c r="A58" s="332" t="s">
        <v>34</v>
      </c>
      <c r="B58" s="333" t="s">
        <v>34</v>
      </c>
      <c r="C58" s="333" t="s">
        <v>34</v>
      </c>
      <c r="D58" s="334" t="s">
        <v>34</v>
      </c>
      <c r="E58" s="182">
        <v>2352</v>
      </c>
      <c r="F58" s="178" t="s">
        <v>193</v>
      </c>
    </row>
    <row r="59" spans="1:6">
      <c r="A59" s="332" t="s">
        <v>178</v>
      </c>
      <c r="B59" s="333" t="s">
        <v>178</v>
      </c>
      <c r="C59" s="333" t="s">
        <v>178</v>
      </c>
      <c r="D59" s="334" t="s">
        <v>178</v>
      </c>
      <c r="E59" s="182">
        <v>0</v>
      </c>
    </row>
    <row r="60" spans="1:6">
      <c r="A60" s="332" t="s">
        <v>72</v>
      </c>
      <c r="B60" s="333" t="s">
        <v>72</v>
      </c>
      <c r="C60" s="333" t="s">
        <v>72</v>
      </c>
      <c r="D60" s="334" t="s">
        <v>72</v>
      </c>
      <c r="E60" s="182">
        <v>99</v>
      </c>
      <c r="F60" s="178" t="s">
        <v>193</v>
      </c>
    </row>
    <row r="61" spans="1:6">
      <c r="A61" s="332" t="s">
        <v>120</v>
      </c>
      <c r="B61" s="333" t="s">
        <v>120</v>
      </c>
      <c r="C61" s="333" t="s">
        <v>120</v>
      </c>
      <c r="D61" s="334" t="s">
        <v>120</v>
      </c>
      <c r="E61" s="182">
        <v>0</v>
      </c>
    </row>
    <row r="62" spans="1:6">
      <c r="A62" s="332"/>
      <c r="B62" s="333"/>
      <c r="C62" s="333"/>
      <c r="D62" s="334"/>
      <c r="E62" s="183"/>
      <c r="F62" s="46"/>
    </row>
    <row r="63" spans="1:6">
      <c r="A63" s="335"/>
      <c r="B63" s="336"/>
      <c r="C63" s="336"/>
      <c r="D63" s="336"/>
      <c r="E63" s="294"/>
      <c r="F63" s="46"/>
    </row>
    <row r="64" spans="1:6">
      <c r="A64" s="329" t="s">
        <v>22</v>
      </c>
      <c r="B64" s="330"/>
      <c r="C64" s="330"/>
      <c r="D64" s="331"/>
      <c r="E64" s="183">
        <f>SUM(E31:E62)</f>
        <v>243760.46</v>
      </c>
    </row>
    <row r="66" spans="1:5" ht="15.75" thickBot="1">
      <c r="E66" s="46"/>
    </row>
    <row r="67" spans="1:5" ht="23.25" thickBot="1">
      <c r="A67" s="154" t="s">
        <v>258</v>
      </c>
      <c r="B67" s="95">
        <f>B7</f>
        <v>449481.47</v>
      </c>
    </row>
    <row r="68" spans="1:5" ht="23.25" thickBot="1">
      <c r="A68" s="155" t="s">
        <v>259</v>
      </c>
      <c r="B68" s="98">
        <f>E64</f>
        <v>243760.46</v>
      </c>
    </row>
    <row r="69" spans="1:5" ht="23.25" thickBot="1">
      <c r="A69" s="155" t="s">
        <v>260</v>
      </c>
      <c r="B69" s="98">
        <f>B67-B68</f>
        <v>205721.00999999998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205721.00999999998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76" workbookViewId="0">
      <selection activeCell="I65" sqref="I65:J65"/>
    </sheetView>
  </sheetViews>
  <sheetFormatPr defaultRowHeight="15"/>
  <cols>
    <col min="1" max="1" width="10.42578125" style="178" bestFit="1" customWidth="1"/>
    <col min="2" max="2" width="11.42578125" style="178" bestFit="1" customWidth="1"/>
    <col min="3" max="3" width="41.140625" style="178" bestFit="1" customWidth="1"/>
    <col min="4" max="4" width="12.42578125" style="74" bestFit="1" customWidth="1"/>
    <col min="5" max="5" width="13.28515625" style="178" bestFit="1" customWidth="1"/>
    <col min="6" max="6" width="12.42578125" style="178" bestFit="1" customWidth="1"/>
    <col min="7" max="7" width="45.140625" style="178" bestFit="1" customWidth="1"/>
    <col min="8" max="8" width="47" style="178" bestFit="1" customWidth="1"/>
    <col min="9" max="9" width="10" style="178" bestFit="1" customWidth="1"/>
    <col min="10" max="10" width="4.7109375" style="1" bestFit="1" customWidth="1"/>
    <col min="11" max="11" width="11" style="73" bestFit="1" customWidth="1"/>
    <col min="12" max="12" width="9.140625" style="178"/>
    <col min="13" max="13" width="13.28515625" style="178" bestFit="1" customWidth="1"/>
    <col min="14" max="16384" width="9.140625" style="178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308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145</v>
      </c>
      <c r="H10" s="7"/>
      <c r="I10" s="4"/>
      <c r="J10" s="19"/>
      <c r="K10" s="16"/>
    </row>
    <row r="11" spans="1:11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271</v>
      </c>
      <c r="H11" s="7" t="s">
        <v>87</v>
      </c>
      <c r="I11" s="4"/>
      <c r="J11" s="19"/>
      <c r="K11" s="16"/>
    </row>
    <row r="12" spans="1:11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271</v>
      </c>
      <c r="H12" s="7" t="s">
        <v>156</v>
      </c>
      <c r="I12" s="4"/>
      <c r="J12" s="19"/>
      <c r="K12" s="16"/>
    </row>
    <row r="13" spans="1:11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175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271</v>
      </c>
      <c r="H14" s="7" t="s">
        <v>117</v>
      </c>
      <c r="I14" s="4"/>
      <c r="J14" s="19"/>
      <c r="K14" s="16"/>
    </row>
    <row r="15" spans="1:11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271</v>
      </c>
      <c r="H15" s="7" t="s">
        <v>109</v>
      </c>
      <c r="I15" s="4"/>
      <c r="J15" s="19"/>
      <c r="K15" s="16"/>
    </row>
    <row r="16" spans="1:11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271</v>
      </c>
      <c r="H16" s="7" t="s">
        <v>102</v>
      </c>
      <c r="I16" s="4"/>
      <c r="J16" s="19"/>
      <c r="K16" s="16"/>
    </row>
    <row r="17" spans="1:11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271</v>
      </c>
      <c r="H17" s="7" t="s">
        <v>89</v>
      </c>
      <c r="I17" s="4"/>
      <c r="J17" s="19"/>
      <c r="K17" s="16"/>
    </row>
    <row r="18" spans="1:11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145</v>
      </c>
      <c r="H18" s="7"/>
      <c r="I18" s="4"/>
      <c r="J18" s="19"/>
      <c r="K18" s="16"/>
    </row>
    <row r="19" spans="1:11">
      <c r="A19" s="15">
        <v>43621</v>
      </c>
      <c r="B19" s="4">
        <v>52019</v>
      </c>
      <c r="C19" s="4" t="s">
        <v>188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>
      <c r="A20" s="15">
        <v>43622</v>
      </c>
      <c r="B20" s="4">
        <v>309379</v>
      </c>
      <c r="C20" s="4" t="s">
        <v>172</v>
      </c>
      <c r="D20" s="77">
        <v>92819.38</v>
      </c>
      <c r="E20" s="5"/>
      <c r="F20" s="6">
        <f t="shared" si="0"/>
        <v>-92819.38</v>
      </c>
      <c r="G20" s="9" t="s">
        <v>270</v>
      </c>
      <c r="H20" s="7"/>
      <c r="I20" s="4"/>
      <c r="J20" s="19"/>
      <c r="K20" s="16"/>
    </row>
    <row r="21" spans="1:11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220</v>
      </c>
      <c r="H21" s="7"/>
      <c r="I21" s="4"/>
      <c r="J21" s="19"/>
      <c r="K21" s="16"/>
    </row>
    <row r="22" spans="1:11">
      <c r="A22" s="15">
        <v>43622</v>
      </c>
      <c r="B22" s="4">
        <v>146060</v>
      </c>
      <c r="C22" s="4" t="s">
        <v>281</v>
      </c>
      <c r="D22" s="77"/>
      <c r="E22" s="77">
        <v>442.87</v>
      </c>
      <c r="F22" s="6">
        <f t="shared" si="0"/>
        <v>-92819.38</v>
      </c>
      <c r="G22" s="9" t="s">
        <v>232</v>
      </c>
      <c r="H22" s="7"/>
      <c r="I22" s="4"/>
      <c r="J22" s="19"/>
      <c r="K22" s="16"/>
    </row>
    <row r="23" spans="1:11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147</v>
      </c>
      <c r="H24" s="7"/>
      <c r="I24" s="4"/>
      <c r="J24" s="19"/>
      <c r="K24" s="16"/>
    </row>
    <row r="25" spans="1:11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147</v>
      </c>
      <c r="H25" s="7"/>
      <c r="I25" s="4"/>
      <c r="J25" s="19"/>
      <c r="K25" s="16"/>
    </row>
    <row r="26" spans="1:11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272</v>
      </c>
      <c r="H26" s="7" t="s">
        <v>275</v>
      </c>
      <c r="I26" s="4">
        <v>6</v>
      </c>
      <c r="J26" s="19">
        <v>1</v>
      </c>
      <c r="K26" s="16"/>
    </row>
    <row r="27" spans="1:11">
      <c r="A27" s="15">
        <v>43626</v>
      </c>
      <c r="B27" s="4">
        <v>642580</v>
      </c>
      <c r="C27" s="4" t="s">
        <v>216</v>
      </c>
      <c r="D27" s="77">
        <v>2325.6799999999998</v>
      </c>
      <c r="E27" s="5"/>
      <c r="F27" s="6">
        <f t="shared" si="0"/>
        <v>279637.92000000004</v>
      </c>
      <c r="G27" s="9" t="s">
        <v>218</v>
      </c>
      <c r="H27" s="7" t="s">
        <v>222</v>
      </c>
      <c r="I27" s="4">
        <v>1</v>
      </c>
      <c r="J27" s="19">
        <v>1</v>
      </c>
      <c r="K27" s="16"/>
    </row>
    <row r="28" spans="1:11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271</v>
      </c>
      <c r="H28" s="7" t="s">
        <v>85</v>
      </c>
      <c r="I28" s="4"/>
      <c r="J28" s="19"/>
      <c r="K28" s="16"/>
    </row>
    <row r="29" spans="1:11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149</v>
      </c>
      <c r="H29" s="7"/>
      <c r="I29" s="4"/>
      <c r="J29" s="19"/>
      <c r="K29" s="16"/>
    </row>
    <row r="30" spans="1:11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174</v>
      </c>
      <c r="H30" s="7" t="s">
        <v>127</v>
      </c>
      <c r="I30" s="4">
        <v>68</v>
      </c>
      <c r="J30" s="19">
        <v>2</v>
      </c>
      <c r="K30" s="16">
        <v>43622</v>
      </c>
    </row>
    <row r="31" spans="1:11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174</v>
      </c>
      <c r="H31" s="7" t="s">
        <v>276</v>
      </c>
      <c r="I31" s="4">
        <v>4</v>
      </c>
      <c r="J31" s="19">
        <v>4</v>
      </c>
      <c r="K31" s="16">
        <v>43623</v>
      </c>
    </row>
    <row r="32" spans="1:11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174</v>
      </c>
      <c r="H32" s="7" t="s">
        <v>183</v>
      </c>
      <c r="I32" s="4">
        <v>24</v>
      </c>
      <c r="J32" s="19">
        <v>12</v>
      </c>
      <c r="K32" s="16">
        <v>43622</v>
      </c>
    </row>
    <row r="33" spans="1:11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174</v>
      </c>
      <c r="H33" s="7" t="s">
        <v>302</v>
      </c>
      <c r="I33" s="4">
        <v>60</v>
      </c>
      <c r="J33" s="19">
        <v>2</v>
      </c>
      <c r="K33" s="16">
        <v>43622</v>
      </c>
    </row>
    <row r="34" spans="1:11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145</v>
      </c>
      <c r="H34" s="7"/>
      <c r="I34" s="4"/>
      <c r="J34" s="19"/>
      <c r="K34" s="16"/>
    </row>
    <row r="35" spans="1:11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174</v>
      </c>
      <c r="H35" s="7" t="s">
        <v>128</v>
      </c>
      <c r="I35" s="4">
        <v>38</v>
      </c>
      <c r="J35" s="19">
        <v>9</v>
      </c>
      <c r="K35" s="16">
        <v>43623</v>
      </c>
    </row>
    <row r="36" spans="1:11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174</v>
      </c>
      <c r="H36" s="7" t="s">
        <v>224</v>
      </c>
      <c r="I36" s="4">
        <v>22</v>
      </c>
      <c r="J36" s="19">
        <v>3</v>
      </c>
      <c r="K36" s="16">
        <v>43622</v>
      </c>
    </row>
    <row r="37" spans="1:11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271</v>
      </c>
      <c r="H38" s="7" t="s">
        <v>98</v>
      </c>
      <c r="I38" s="4"/>
      <c r="J38" s="19"/>
      <c r="K38" s="16"/>
    </row>
    <row r="39" spans="1:11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174</v>
      </c>
      <c r="H39" s="7" t="s">
        <v>61</v>
      </c>
      <c r="I39" s="4">
        <v>36</v>
      </c>
      <c r="J39" s="19">
        <v>8</v>
      </c>
      <c r="K39" s="16">
        <v>43626</v>
      </c>
    </row>
    <row r="40" spans="1:11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145</v>
      </c>
      <c r="H40" s="7"/>
      <c r="I40" s="4"/>
      <c r="J40" s="19"/>
      <c r="K40" s="16"/>
    </row>
    <row r="41" spans="1:11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273</v>
      </c>
      <c r="H41" s="7" t="s">
        <v>257</v>
      </c>
      <c r="I41" s="4">
        <v>80</v>
      </c>
      <c r="J41" s="19">
        <v>1</v>
      </c>
      <c r="K41" s="16"/>
    </row>
    <row r="42" spans="1:11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145</v>
      </c>
      <c r="H43" s="7"/>
      <c r="I43" s="4"/>
      <c r="J43" s="19"/>
      <c r="K43" s="16"/>
    </row>
    <row r="44" spans="1:11">
      <c r="A44" s="15">
        <v>43635</v>
      </c>
      <c r="B44" s="4">
        <v>284419</v>
      </c>
      <c r="C44" s="4" t="s">
        <v>173</v>
      </c>
      <c r="D44" s="77">
        <v>2352</v>
      </c>
      <c r="E44" s="5"/>
      <c r="F44" s="6">
        <f t="shared" si="0"/>
        <v>13549.440000000002</v>
      </c>
      <c r="G44" s="9" t="s">
        <v>178</v>
      </c>
      <c r="H44" s="7" t="s">
        <v>223</v>
      </c>
      <c r="I44" s="4">
        <v>450</v>
      </c>
      <c r="J44" s="19">
        <v>1</v>
      </c>
      <c r="K44" s="16">
        <v>43621</v>
      </c>
    </row>
    <row r="45" spans="1:11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282</v>
      </c>
      <c r="H45" s="7" t="s">
        <v>256</v>
      </c>
      <c r="I45" s="4">
        <v>46</v>
      </c>
      <c r="J45" s="19">
        <v>1</v>
      </c>
      <c r="K45" s="16"/>
    </row>
    <row r="46" spans="1:11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150</v>
      </c>
      <c r="H47" s="7" t="s">
        <v>161</v>
      </c>
      <c r="I47" s="4">
        <v>1383578</v>
      </c>
      <c r="J47" s="19">
        <v>1</v>
      </c>
      <c r="K47" s="16"/>
    </row>
    <row r="48" spans="1:11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145</v>
      </c>
      <c r="H48" s="7"/>
      <c r="I48" s="4"/>
      <c r="J48" s="19"/>
      <c r="K48" s="16"/>
    </row>
    <row r="49" spans="1:11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145</v>
      </c>
      <c r="H49" s="7"/>
      <c r="I49" s="4"/>
      <c r="J49" s="19"/>
      <c r="K49" s="16"/>
    </row>
    <row r="50" spans="1:11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151</v>
      </c>
      <c r="H50" s="7"/>
      <c r="I50" s="4"/>
      <c r="J50" s="19"/>
      <c r="K50" s="16"/>
    </row>
    <row r="51" spans="1:11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282</v>
      </c>
      <c r="H51" s="7" t="s">
        <v>256</v>
      </c>
      <c r="I51" s="4">
        <v>1</v>
      </c>
      <c r="J51" s="19">
        <v>1</v>
      </c>
      <c r="K51" s="16"/>
    </row>
    <row r="52" spans="1:11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174</v>
      </c>
      <c r="H52" s="7" t="s">
        <v>189</v>
      </c>
      <c r="I52" s="4">
        <v>10</v>
      </c>
      <c r="J52" s="19">
        <v>10</v>
      </c>
      <c r="K52" s="16">
        <v>43635</v>
      </c>
    </row>
    <row r="53" spans="1:11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174</v>
      </c>
      <c r="H54" s="7" t="s">
        <v>310</v>
      </c>
      <c r="I54" s="4">
        <v>32</v>
      </c>
      <c r="J54" s="19">
        <v>1</v>
      </c>
      <c r="K54" s="16">
        <v>43637</v>
      </c>
    </row>
    <row r="55" spans="1:11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176</v>
      </c>
      <c r="H55" s="7"/>
      <c r="I55" s="4"/>
      <c r="J55" s="19"/>
      <c r="K55" s="16"/>
    </row>
    <row r="56" spans="1:11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234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24" t="s">
        <v>12</v>
      </c>
      <c r="B63" s="325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>
      <c r="A68" s="299" t="s">
        <v>123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</row>
    <row r="69" spans="1:11" ht="18" customHeight="1"/>
    <row r="70" spans="1:11" ht="18" customHeight="1">
      <c r="A70" s="318" t="s">
        <v>309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</row>
    <row r="71" spans="1:11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19" t="s">
        <v>21</v>
      </c>
      <c r="B72" s="320"/>
      <c r="C72" s="320"/>
      <c r="D72" s="320"/>
      <c r="E72" s="321"/>
      <c r="F72" s="3"/>
      <c r="G72" s="322" t="s">
        <v>20</v>
      </c>
      <c r="H72" s="322"/>
      <c r="I72" s="322"/>
      <c r="J72" s="322"/>
      <c r="K72" s="24"/>
    </row>
    <row r="73" spans="1:11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06">
        <f>SUMIF($G$8:$G$62,G73,$E$8:$E$62)</f>
        <v>282406.47000000003</v>
      </c>
      <c r="J73" s="307"/>
      <c r="K73" s="24"/>
    </row>
    <row r="74" spans="1:11">
      <c r="A74" s="27" t="s">
        <v>149</v>
      </c>
      <c r="B74" s="63"/>
      <c r="C74" s="63"/>
      <c r="D74" s="80"/>
      <c r="E74" s="29">
        <f t="shared" si="1"/>
        <v>275000</v>
      </c>
      <c r="F74" s="3"/>
      <c r="G74" s="316" t="s">
        <v>145</v>
      </c>
      <c r="H74" s="317"/>
      <c r="I74" s="306">
        <f>SUMIF($G$8:$G$62,G74,$E$8:$E$62)</f>
        <v>251557.9</v>
      </c>
      <c r="J74" s="307"/>
      <c r="K74" s="24"/>
    </row>
    <row r="75" spans="1:11">
      <c r="A75" s="27" t="s">
        <v>174</v>
      </c>
      <c r="B75" s="63"/>
      <c r="C75" s="63"/>
      <c r="D75" s="80"/>
      <c r="E75" s="29">
        <f t="shared" si="1"/>
        <v>94883.05</v>
      </c>
      <c r="F75" s="3"/>
      <c r="G75" s="316" t="s">
        <v>232</v>
      </c>
      <c r="H75" s="317"/>
      <c r="I75" s="306">
        <f>SUMIF($G$8:$G$62,G75,$E$8:$E$62)</f>
        <v>442.87</v>
      </c>
      <c r="J75" s="307"/>
      <c r="K75" s="24"/>
    </row>
    <row r="76" spans="1:11">
      <c r="A76" s="27" t="s">
        <v>177</v>
      </c>
      <c r="B76" s="63"/>
      <c r="C76" s="63"/>
      <c r="D76" s="80"/>
      <c r="E76" s="29">
        <f t="shared" si="1"/>
        <v>0</v>
      </c>
      <c r="F76" s="3"/>
      <c r="G76" s="316" t="s">
        <v>234</v>
      </c>
      <c r="H76" s="317"/>
      <c r="I76" s="306">
        <f>SUMIF($G$8:$G$62,G76,$E$8:$E$62)</f>
        <v>99</v>
      </c>
      <c r="J76" s="307"/>
      <c r="K76" s="24"/>
    </row>
    <row r="77" spans="1:11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06">
        <f>SUMIF($G$8:$G$62,G77,$E$8:$E$62)</f>
        <v>0</v>
      </c>
      <c r="J77" s="307"/>
      <c r="K77" s="24"/>
    </row>
    <row r="78" spans="1:11">
      <c r="A78" s="27" t="s">
        <v>175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302">
        <f>SUM(I73:J77)</f>
        <v>534506.23999999999</v>
      </c>
      <c r="J78" s="303"/>
      <c r="K78" s="61">
        <f>E63-I78</f>
        <v>0</v>
      </c>
    </row>
    <row r="79" spans="1:11">
      <c r="A79" s="62" t="s">
        <v>221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>
      <c r="A80" s="27" t="s">
        <v>271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187" t="s">
        <v>19</v>
      </c>
      <c r="H81" s="188"/>
      <c r="I81" s="306">
        <f>'CEF Maio 2019'!I78:J78</f>
        <v>202223.37999999995</v>
      </c>
      <c r="J81" s="307"/>
    </row>
    <row r="82" spans="1:11">
      <c r="A82" s="27" t="s">
        <v>270</v>
      </c>
      <c r="B82" s="63"/>
      <c r="C82" s="63"/>
      <c r="D82" s="80"/>
      <c r="E82" s="29">
        <f t="shared" si="1"/>
        <v>92819.38</v>
      </c>
      <c r="F82" s="3"/>
      <c r="G82" s="27" t="s">
        <v>149</v>
      </c>
      <c r="H82" s="188"/>
      <c r="I82" s="306">
        <f>SUMIF($G$8:$G$62,G82,$D$8:$D$62)</f>
        <v>275000</v>
      </c>
      <c r="J82" s="307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16" t="s">
        <v>145</v>
      </c>
      <c r="H83" s="317"/>
      <c r="I83" s="306">
        <f>-SUMIF($G$8:$G$62,G83,$E$8:$E$62)</f>
        <v>-251557.9</v>
      </c>
      <c r="J83" s="307"/>
    </row>
    <row r="84" spans="1:11">
      <c r="A84" s="27" t="s">
        <v>29</v>
      </c>
      <c r="B84" s="63"/>
      <c r="C84" s="63"/>
      <c r="D84" s="80"/>
      <c r="E84" s="29">
        <f t="shared" si="1"/>
        <v>10605.37</v>
      </c>
      <c r="F84" s="3"/>
      <c r="G84" s="187" t="s">
        <v>30</v>
      </c>
      <c r="H84" s="188"/>
      <c r="I84" s="306">
        <v>979.55</v>
      </c>
      <c r="J84" s="307"/>
    </row>
    <row r="85" spans="1:11">
      <c r="A85" s="27" t="s">
        <v>282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314"/>
      <c r="J85" s="315"/>
    </row>
    <row r="86" spans="1:11">
      <c r="A86" s="27" t="s">
        <v>273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310">
        <f>SUM(I81:J84)</f>
        <v>226645.02999999994</v>
      </c>
      <c r="J86" s="311"/>
    </row>
    <row r="87" spans="1:11">
      <c r="A87" s="27" t="s">
        <v>218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8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312"/>
      <c r="J88" s="313"/>
      <c r="K88" s="24"/>
    </row>
    <row r="89" spans="1:11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304">
        <f>'CEF Março 2019'!I88:J88</f>
        <v>0</v>
      </c>
      <c r="J89" s="305"/>
      <c r="K89" s="24"/>
    </row>
    <row r="90" spans="1:11">
      <c r="A90" s="27" t="s">
        <v>150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88"/>
      <c r="I90" s="306">
        <f>SUMIF($G$8:$G$62,G90,$E$8:$E$62)</f>
        <v>0</v>
      </c>
      <c r="J90" s="307"/>
      <c r="K90" s="24"/>
    </row>
    <row r="91" spans="1:11">
      <c r="A91" s="27" t="s">
        <v>220</v>
      </c>
      <c r="B91" s="63"/>
      <c r="C91" s="63"/>
      <c r="D91" s="80"/>
      <c r="E91" s="29">
        <f t="shared" si="1"/>
        <v>442.87</v>
      </c>
      <c r="F91" s="3"/>
      <c r="G91" s="187" t="s">
        <v>14</v>
      </c>
      <c r="H91" s="188"/>
      <c r="I91" s="306">
        <f>-SUMIF($G$8:$G$62,G91,$D$8:$D$62)</f>
        <v>0</v>
      </c>
      <c r="J91" s="307"/>
      <c r="K91" s="24"/>
    </row>
    <row r="92" spans="1:11">
      <c r="A92" s="27" t="s">
        <v>151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314"/>
      <c r="J92" s="315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02">
        <f>SUM(I89:J92)</f>
        <v>0</v>
      </c>
      <c r="J93" s="303"/>
      <c r="K93" s="24"/>
    </row>
    <row r="94" spans="1:11">
      <c r="A94" s="27" t="s">
        <v>176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86"/>
      <c r="K94" s="24"/>
    </row>
    <row r="95" spans="1:11">
      <c r="A95" s="27" t="s">
        <v>272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3533.54</v>
      </c>
      <c r="F96" s="3"/>
      <c r="G96" s="187" t="s">
        <v>19</v>
      </c>
      <c r="H96" s="188"/>
      <c r="I96" s="308">
        <f>'CEF Maio 2019'!I92:J92</f>
        <v>51690.889999999956</v>
      </c>
      <c r="J96" s="309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187" t="s">
        <v>42</v>
      </c>
      <c r="H97" s="188"/>
      <c r="I97" s="291">
        <f>249997.75+16000+16408.72</f>
        <v>282406.46999999997</v>
      </c>
      <c r="J97" s="292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187" t="s">
        <v>147</v>
      </c>
      <c r="H98" s="188"/>
      <c r="I98" s="306">
        <f>-SUMIF($G$8:$G$62,G98,$E$8:$E$62)</f>
        <v>-282406.47000000003</v>
      </c>
      <c r="J98" s="307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00"/>
      <c r="J99" s="301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310">
        <f>SUM(I96:J99)</f>
        <v>51690.889999999898</v>
      </c>
      <c r="J100" s="311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04">
        <f>'CEF Maio 2019'!I99:J99</f>
        <v>15542.430000000009</v>
      </c>
      <c r="J103" s="305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311</v>
      </c>
      <c r="H104" s="41"/>
      <c r="I104" s="306">
        <v>16726.259999999998</v>
      </c>
      <c r="J104" s="307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306"/>
      <c r="J105" s="307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00">
        <f>-SUMIF($G$8:$G$62,G106,$D$8:$D$62)</f>
        <v>-15542.43</v>
      </c>
      <c r="J106" s="301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02">
        <f>SUM(I103:J106)</f>
        <v>16726.260000000009</v>
      </c>
      <c r="J107" s="303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86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312</v>
      </c>
      <c r="H110" s="188"/>
      <c r="I110" s="291">
        <v>33679.589999999997</v>
      </c>
      <c r="J110" s="292"/>
      <c r="K110" s="24"/>
    </row>
    <row r="111" spans="1:13">
      <c r="A111" s="297" t="s">
        <v>22</v>
      </c>
      <c r="B111" s="298"/>
      <c r="C111" s="298"/>
      <c r="D111" s="81"/>
      <c r="E111" s="35">
        <f>SUM(E73:E109)</f>
        <v>537904.87</v>
      </c>
      <c r="F111" s="3"/>
      <c r="G111" s="27"/>
      <c r="H111" s="188"/>
      <c r="I111" s="291"/>
      <c r="J111" s="292"/>
      <c r="K111" s="24"/>
    </row>
    <row r="112" spans="1:13">
      <c r="E112" s="46">
        <f>D63-E111</f>
        <v>0</v>
      </c>
      <c r="F112" s="3"/>
      <c r="G112" s="27"/>
      <c r="H112" s="41"/>
      <c r="I112" s="295"/>
      <c r="J112" s="296"/>
      <c r="K112" s="24"/>
    </row>
    <row r="113" spans="1:11">
      <c r="F113" s="3"/>
      <c r="G113" s="89" t="s">
        <v>18</v>
      </c>
      <c r="H113" s="88"/>
      <c r="I113" s="302">
        <f>SUM(I110:J112)</f>
        <v>33679.589999999997</v>
      </c>
      <c r="J113" s="303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178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sortState ref="A73:E104">
    <sortCondition ref="A73"/>
  </sortState>
  <mergeCells count="46">
    <mergeCell ref="A68:K68"/>
    <mergeCell ref="A2:K2"/>
    <mergeCell ref="A4:K4"/>
    <mergeCell ref="A6:F6"/>
    <mergeCell ref="G6:K6"/>
    <mergeCell ref="A63:B63"/>
    <mergeCell ref="A70:K70"/>
    <mergeCell ref="A72:E72"/>
    <mergeCell ref="G72:J72"/>
    <mergeCell ref="I73:J73"/>
    <mergeCell ref="G74:H74"/>
    <mergeCell ref="I74:J74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I65" sqref="I65:J6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3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205721.01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979.55</v>
      </c>
      <c r="C4" s="41"/>
      <c r="D4" s="144"/>
      <c r="E4" s="41"/>
      <c r="F4" s="41"/>
    </row>
    <row r="5" spans="1:6" ht="15.75" thickBot="1">
      <c r="A5" s="177"/>
      <c r="B5" s="129">
        <v>541.87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489648.89999999997</v>
      </c>
      <c r="C7" s="165"/>
      <c r="D7" s="144">
        <v>226744.03</v>
      </c>
      <c r="E7" s="185">
        <f>B7-D7</f>
        <v>262904.87</v>
      </c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161016.37</v>
      </c>
      <c r="C11" s="115">
        <f>11900+13466.01+92819.38+10605.37+3148.28+44+496.8+9690.74+442.87+442.87</f>
        <v>143056.31999999998</v>
      </c>
      <c r="D11" s="115"/>
      <c r="E11" s="166">
        <f t="shared" ref="E11:E27" si="0">C11+D11</f>
        <v>143056.31999999998</v>
      </c>
      <c r="F11" s="134">
        <f>14146.3+437596.07+7495.17+1013.6+1027.16+13586.53+9456.57</f>
        <v>484321.39999999997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105090</v>
      </c>
      <c r="C17" s="115">
        <f>94883.05+1112.85+2325.68+3533.54+2352</f>
        <v>104207.12</v>
      </c>
      <c r="D17" s="115"/>
      <c r="E17" s="166">
        <f t="shared" si="0"/>
        <v>104207.12</v>
      </c>
      <c r="F17" s="134">
        <f>3580.51+2309.44+105490</f>
        <v>111379.95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16726.259999999998</v>
      </c>
      <c r="C26" s="151">
        <v>15542.43</v>
      </c>
      <c r="D26" s="111"/>
      <c r="E26" s="166">
        <f t="shared" si="0"/>
        <v>15542.43</v>
      </c>
      <c r="F26" s="115">
        <v>16726.259999999998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282931.63</v>
      </c>
      <c r="C28" s="152">
        <f>SUM(C11:C27)</f>
        <v>262805.87</v>
      </c>
      <c r="D28" s="152">
        <f>SUM(D11:D27)</f>
        <v>99</v>
      </c>
      <c r="E28" s="152">
        <f>SUM(E11:E27)</f>
        <v>262904.87</v>
      </c>
      <c r="F28" s="152">
        <f>SUM(F11:F27)</f>
        <v>612427.61</v>
      </c>
      <c r="H28" s="46">
        <f>2956804.55-2344376.94</f>
        <v>612427.60999999987</v>
      </c>
      <c r="J28" s="46">
        <f>F28-H28</f>
        <v>0</v>
      </c>
    </row>
    <row r="31" spans="1:10">
      <c r="A31" s="332" t="s">
        <v>233</v>
      </c>
      <c r="B31" s="333" t="s">
        <v>233</v>
      </c>
      <c r="C31" s="333" t="s">
        <v>233</v>
      </c>
      <c r="D31" s="334" t="s">
        <v>233</v>
      </c>
      <c r="E31" s="182">
        <v>0</v>
      </c>
    </row>
    <row r="32" spans="1:10">
      <c r="A32" s="332" t="s">
        <v>149</v>
      </c>
      <c r="B32" s="333" t="s">
        <v>149</v>
      </c>
      <c r="C32" s="333" t="s">
        <v>149</v>
      </c>
      <c r="D32" s="334" t="s">
        <v>149</v>
      </c>
      <c r="E32" s="182"/>
      <c r="F32" s="182">
        <v>275000</v>
      </c>
    </row>
    <row r="33" spans="1:7">
      <c r="A33" s="332" t="s">
        <v>174</v>
      </c>
      <c r="B33" s="333" t="s">
        <v>174</v>
      </c>
      <c r="C33" s="333" t="s">
        <v>174</v>
      </c>
      <c r="D33" s="334" t="s">
        <v>174</v>
      </c>
      <c r="E33" s="182">
        <v>94883.05</v>
      </c>
      <c r="F33" s="189" t="s">
        <v>193</v>
      </c>
    </row>
    <row r="34" spans="1:7">
      <c r="A34" s="332" t="s">
        <v>177</v>
      </c>
      <c r="B34" s="333" t="s">
        <v>177</v>
      </c>
      <c r="C34" s="333" t="s">
        <v>177</v>
      </c>
      <c r="D34" s="334" t="s">
        <v>177</v>
      </c>
      <c r="E34" s="182">
        <v>0</v>
      </c>
    </row>
    <row r="35" spans="1:7">
      <c r="A35" s="332" t="s">
        <v>255</v>
      </c>
      <c r="B35" s="333" t="s">
        <v>255</v>
      </c>
      <c r="C35" s="333" t="s">
        <v>255</v>
      </c>
      <c r="D35" s="334" t="s">
        <v>255</v>
      </c>
      <c r="E35" s="182">
        <v>0</v>
      </c>
    </row>
    <row r="36" spans="1:7">
      <c r="A36" s="332" t="s">
        <v>175</v>
      </c>
      <c r="B36" s="333" t="s">
        <v>175</v>
      </c>
      <c r="C36" s="333" t="s">
        <v>175</v>
      </c>
      <c r="D36" s="334" t="s">
        <v>175</v>
      </c>
      <c r="E36" s="182">
        <v>11900</v>
      </c>
      <c r="F36" s="189" t="s">
        <v>193</v>
      </c>
    </row>
    <row r="37" spans="1:7">
      <c r="A37" s="332" t="s">
        <v>221</v>
      </c>
      <c r="B37" s="333" t="s">
        <v>221</v>
      </c>
      <c r="C37" s="333" t="s">
        <v>221</v>
      </c>
      <c r="D37" s="334" t="s">
        <v>221</v>
      </c>
      <c r="E37" s="182">
        <v>0</v>
      </c>
      <c r="F37" s="39"/>
    </row>
    <row r="38" spans="1:7">
      <c r="A38" s="332" t="s">
        <v>271</v>
      </c>
      <c r="B38" s="333" t="s">
        <v>271</v>
      </c>
      <c r="C38" s="333" t="s">
        <v>271</v>
      </c>
      <c r="D38" s="334" t="s">
        <v>271</v>
      </c>
      <c r="E38" s="182">
        <v>13466.010000000002</v>
      </c>
      <c r="F38" s="189" t="s">
        <v>193</v>
      </c>
    </row>
    <row r="39" spans="1:7">
      <c r="A39" s="332" t="s">
        <v>25</v>
      </c>
      <c r="B39" s="333" t="s">
        <v>25</v>
      </c>
      <c r="C39" s="333" t="s">
        <v>25</v>
      </c>
      <c r="D39" s="334" t="s">
        <v>25</v>
      </c>
      <c r="E39" s="182">
        <v>0</v>
      </c>
    </row>
    <row r="40" spans="1:7">
      <c r="A40" s="332" t="s">
        <v>270</v>
      </c>
      <c r="B40" s="333" t="s">
        <v>270</v>
      </c>
      <c r="C40" s="333" t="s">
        <v>270</v>
      </c>
      <c r="D40" s="334" t="s">
        <v>270</v>
      </c>
      <c r="E40" s="182">
        <v>92819.38</v>
      </c>
      <c r="F40" s="189" t="s">
        <v>193</v>
      </c>
    </row>
    <row r="41" spans="1:7">
      <c r="A41" s="332" t="s">
        <v>219</v>
      </c>
      <c r="B41" s="333" t="s">
        <v>219</v>
      </c>
      <c r="C41" s="333" t="s">
        <v>219</v>
      </c>
      <c r="D41" s="334" t="s">
        <v>219</v>
      </c>
      <c r="E41" s="182">
        <v>0</v>
      </c>
    </row>
    <row r="42" spans="1:7">
      <c r="A42" s="332" t="s">
        <v>29</v>
      </c>
      <c r="B42" s="333" t="s">
        <v>29</v>
      </c>
      <c r="C42" s="333" t="s">
        <v>29</v>
      </c>
      <c r="D42" s="334" t="s">
        <v>29</v>
      </c>
      <c r="E42" s="182">
        <v>10605.37</v>
      </c>
      <c r="F42" s="189" t="s">
        <v>193</v>
      </c>
    </row>
    <row r="43" spans="1:7">
      <c r="A43" s="332" t="s">
        <v>282</v>
      </c>
      <c r="B43" s="333" t="s">
        <v>282</v>
      </c>
      <c r="C43" s="333" t="s">
        <v>282</v>
      </c>
      <c r="D43" s="334" t="s">
        <v>282</v>
      </c>
      <c r="E43" s="182">
        <v>3148.28</v>
      </c>
      <c r="F43" s="189" t="s">
        <v>193</v>
      </c>
    </row>
    <row r="44" spans="1:7">
      <c r="A44" s="332" t="s">
        <v>273</v>
      </c>
      <c r="B44" s="333" t="s">
        <v>273</v>
      </c>
      <c r="C44" s="333" t="s">
        <v>273</v>
      </c>
      <c r="D44" s="334" t="s">
        <v>273</v>
      </c>
      <c r="E44" s="182">
        <v>1112.8500000000001</v>
      </c>
      <c r="F44" s="189" t="s">
        <v>193</v>
      </c>
    </row>
    <row r="45" spans="1:7">
      <c r="A45" s="332" t="s">
        <v>218</v>
      </c>
      <c r="B45" s="333" t="s">
        <v>218</v>
      </c>
      <c r="C45" s="333" t="s">
        <v>218</v>
      </c>
      <c r="D45" s="334" t="s">
        <v>218</v>
      </c>
      <c r="E45" s="182">
        <v>2325.6799999999998</v>
      </c>
      <c r="F45" s="189" t="s">
        <v>193</v>
      </c>
      <c r="G45" s="46"/>
    </row>
    <row r="46" spans="1:7">
      <c r="A46" s="332" t="s">
        <v>231</v>
      </c>
      <c r="B46" s="333" t="s">
        <v>231</v>
      </c>
      <c r="C46" s="333" t="s">
        <v>231</v>
      </c>
      <c r="D46" s="334" t="s">
        <v>231</v>
      </c>
      <c r="E46" s="182">
        <v>0</v>
      </c>
    </row>
    <row r="47" spans="1:7">
      <c r="A47" s="332" t="s">
        <v>28</v>
      </c>
      <c r="B47" s="333" t="s">
        <v>28</v>
      </c>
      <c r="C47" s="333" t="s">
        <v>28</v>
      </c>
      <c r="D47" s="334" t="s">
        <v>28</v>
      </c>
      <c r="E47" s="182">
        <v>44</v>
      </c>
      <c r="F47" s="189" t="s">
        <v>193</v>
      </c>
    </row>
    <row r="48" spans="1:7">
      <c r="A48" s="332" t="s">
        <v>150</v>
      </c>
      <c r="B48" s="333" t="s">
        <v>150</v>
      </c>
      <c r="C48" s="333" t="s">
        <v>150</v>
      </c>
      <c r="D48" s="334" t="s">
        <v>150</v>
      </c>
      <c r="E48" s="182">
        <v>496.8</v>
      </c>
      <c r="F48" s="189" t="s">
        <v>193</v>
      </c>
    </row>
    <row r="49" spans="1:6">
      <c r="A49" s="332" t="s">
        <v>220</v>
      </c>
      <c r="B49" s="333" t="s">
        <v>220</v>
      </c>
      <c r="C49" s="333" t="s">
        <v>220</v>
      </c>
      <c r="D49" s="334" t="s">
        <v>220</v>
      </c>
      <c r="E49" s="182">
        <v>442.87</v>
      </c>
      <c r="F49" s="189" t="s">
        <v>193</v>
      </c>
    </row>
    <row r="50" spans="1:6">
      <c r="A50" s="332" t="s">
        <v>151</v>
      </c>
      <c r="B50" s="333" t="s">
        <v>151</v>
      </c>
      <c r="C50" s="333" t="s">
        <v>151</v>
      </c>
      <c r="D50" s="334" t="s">
        <v>151</v>
      </c>
      <c r="E50" s="182">
        <v>9690.74</v>
      </c>
      <c r="F50" s="189" t="s">
        <v>193</v>
      </c>
    </row>
    <row r="51" spans="1:6">
      <c r="A51" s="332" t="s">
        <v>49</v>
      </c>
      <c r="B51" s="333" t="s">
        <v>49</v>
      </c>
      <c r="C51" s="333" t="s">
        <v>49</v>
      </c>
      <c r="D51" s="334" t="s">
        <v>49</v>
      </c>
      <c r="E51" s="182">
        <v>0</v>
      </c>
    </row>
    <row r="52" spans="1:6">
      <c r="A52" s="332" t="s">
        <v>176</v>
      </c>
      <c r="B52" s="333" t="s">
        <v>176</v>
      </c>
      <c r="C52" s="333" t="s">
        <v>176</v>
      </c>
      <c r="D52" s="334" t="s">
        <v>176</v>
      </c>
      <c r="E52" s="182">
        <v>15542.43</v>
      </c>
      <c r="F52" s="189" t="s">
        <v>193</v>
      </c>
    </row>
    <row r="53" spans="1:6">
      <c r="A53" s="332" t="s">
        <v>272</v>
      </c>
      <c r="B53" s="333" t="s">
        <v>272</v>
      </c>
      <c r="C53" s="333" t="s">
        <v>272</v>
      </c>
      <c r="D53" s="334" t="s">
        <v>272</v>
      </c>
      <c r="E53" s="182">
        <v>442.87</v>
      </c>
      <c r="F53" s="189" t="s">
        <v>193</v>
      </c>
    </row>
    <row r="54" spans="1:6">
      <c r="A54" s="332" t="s">
        <v>43</v>
      </c>
      <c r="B54" s="333" t="s">
        <v>43</v>
      </c>
      <c r="C54" s="333" t="s">
        <v>43</v>
      </c>
      <c r="D54" s="334" t="s">
        <v>43</v>
      </c>
      <c r="E54" s="182">
        <v>3533.54</v>
      </c>
      <c r="F54" s="189" t="s">
        <v>193</v>
      </c>
    </row>
    <row r="55" spans="1:6">
      <c r="A55" s="332" t="s">
        <v>274</v>
      </c>
      <c r="B55" s="333" t="s">
        <v>274</v>
      </c>
      <c r="C55" s="333" t="s">
        <v>274</v>
      </c>
      <c r="D55" s="334" t="s">
        <v>274</v>
      </c>
      <c r="E55" s="182">
        <v>0</v>
      </c>
    </row>
    <row r="56" spans="1:6">
      <c r="A56" s="332" t="s">
        <v>179</v>
      </c>
      <c r="B56" s="333" t="s">
        <v>179</v>
      </c>
      <c r="C56" s="333" t="s">
        <v>179</v>
      </c>
      <c r="D56" s="334" t="s">
        <v>179</v>
      </c>
      <c r="E56" s="182">
        <v>0</v>
      </c>
    </row>
    <row r="57" spans="1:6">
      <c r="A57" s="332" t="s">
        <v>146</v>
      </c>
      <c r="B57" s="333" t="s">
        <v>146</v>
      </c>
      <c r="C57" s="333" t="s">
        <v>146</v>
      </c>
      <c r="D57" s="334" t="s">
        <v>146</v>
      </c>
      <c r="E57" s="182">
        <v>0</v>
      </c>
    </row>
    <row r="58" spans="1:6">
      <c r="A58" s="332" t="s">
        <v>34</v>
      </c>
      <c r="B58" s="333" t="s">
        <v>34</v>
      </c>
      <c r="C58" s="333" t="s">
        <v>34</v>
      </c>
      <c r="D58" s="334" t="s">
        <v>34</v>
      </c>
      <c r="E58" s="182">
        <v>0</v>
      </c>
    </row>
    <row r="59" spans="1:6">
      <c r="A59" s="332" t="s">
        <v>178</v>
      </c>
      <c r="B59" s="333" t="s">
        <v>178</v>
      </c>
      <c r="C59" s="333" t="s">
        <v>178</v>
      </c>
      <c r="D59" s="334" t="s">
        <v>178</v>
      </c>
      <c r="E59" s="182">
        <v>2352</v>
      </c>
      <c r="F59" s="189" t="s">
        <v>193</v>
      </c>
    </row>
    <row r="60" spans="1:6">
      <c r="A60" s="332" t="s">
        <v>72</v>
      </c>
      <c r="B60" s="333" t="s">
        <v>72</v>
      </c>
      <c r="C60" s="333" t="s">
        <v>72</v>
      </c>
      <c r="D60" s="334" t="s">
        <v>72</v>
      </c>
      <c r="E60" s="182">
        <v>99</v>
      </c>
      <c r="F60" s="189" t="s">
        <v>193</v>
      </c>
    </row>
    <row r="61" spans="1:6">
      <c r="A61" s="332" t="s">
        <v>307</v>
      </c>
      <c r="B61" s="333" t="s">
        <v>307</v>
      </c>
      <c r="C61" s="333" t="s">
        <v>307</v>
      </c>
      <c r="D61" s="334" t="s">
        <v>307</v>
      </c>
      <c r="E61" s="182">
        <v>0</v>
      </c>
    </row>
    <row r="62" spans="1:6">
      <c r="A62" s="332" t="s">
        <v>120</v>
      </c>
      <c r="B62" s="333" t="s">
        <v>120</v>
      </c>
      <c r="C62" s="333" t="s">
        <v>120</v>
      </c>
      <c r="D62" s="334" t="s">
        <v>120</v>
      </c>
      <c r="E62" s="183">
        <v>0</v>
      </c>
      <c r="F62" s="46"/>
    </row>
    <row r="63" spans="1:6">
      <c r="A63" s="335"/>
      <c r="B63" s="336"/>
      <c r="C63" s="336"/>
      <c r="D63" s="336"/>
      <c r="E63" s="294"/>
      <c r="F63" s="46"/>
    </row>
    <row r="64" spans="1:6">
      <c r="A64" s="329" t="s">
        <v>22</v>
      </c>
      <c r="B64" s="330"/>
      <c r="C64" s="330"/>
      <c r="D64" s="331"/>
      <c r="E64" s="183">
        <f>SUM(E31:E62)</f>
        <v>262904.87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489648.89999999997</v>
      </c>
    </row>
    <row r="68" spans="1:5" ht="23.25" thickBot="1">
      <c r="A68" s="155" t="s">
        <v>259</v>
      </c>
      <c r="B68" s="98">
        <f>E64</f>
        <v>262904.87</v>
      </c>
    </row>
    <row r="69" spans="1:5" ht="23.25" thickBot="1">
      <c r="A69" s="155" t="s">
        <v>260</v>
      </c>
      <c r="B69" s="98">
        <f>B67-B68</f>
        <v>226744.02999999997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226744.02999999997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9" workbookViewId="0">
      <selection activeCell="I65" sqref="I65:J65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313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271</v>
      </c>
      <c r="H10" s="7" t="s">
        <v>90</v>
      </c>
      <c r="I10" s="4"/>
      <c r="J10" s="19"/>
      <c r="K10" s="16"/>
    </row>
    <row r="11" spans="1:11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271</v>
      </c>
      <c r="H11" s="7" t="s">
        <v>84</v>
      </c>
      <c r="I11" s="4"/>
      <c r="J11" s="19"/>
      <c r="K11" s="16"/>
    </row>
    <row r="12" spans="1:11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145</v>
      </c>
      <c r="H12" s="7"/>
      <c r="I12" s="4"/>
      <c r="J12" s="19"/>
      <c r="K12" s="16"/>
    </row>
    <row r="13" spans="1:11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175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145</v>
      </c>
      <c r="H14" s="7"/>
      <c r="I14" s="4"/>
      <c r="J14" s="19"/>
      <c r="K14" s="16"/>
    </row>
    <row r="15" spans="1:11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271</v>
      </c>
      <c r="H15" s="7" t="s">
        <v>153</v>
      </c>
      <c r="I15" s="4"/>
      <c r="J15" s="19"/>
      <c r="K15" s="16"/>
    </row>
    <row r="16" spans="1:11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271</v>
      </c>
      <c r="H16" s="7" t="s">
        <v>82</v>
      </c>
      <c r="I16" s="4"/>
      <c r="J16" s="19"/>
      <c r="K16" s="16"/>
    </row>
    <row r="17" spans="1:11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145</v>
      </c>
      <c r="H17" s="7"/>
      <c r="I17" s="4"/>
      <c r="J17" s="19"/>
      <c r="K17" s="16"/>
    </row>
    <row r="18" spans="1:11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271</v>
      </c>
      <c r="H18" s="7" t="s">
        <v>114</v>
      </c>
      <c r="I18" s="4"/>
      <c r="J18" s="19"/>
      <c r="K18" s="16"/>
    </row>
    <row r="19" spans="1:11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271</v>
      </c>
      <c r="H19" s="7" t="s">
        <v>83</v>
      </c>
      <c r="I19" s="4"/>
      <c r="J19" s="19"/>
      <c r="K19" s="16"/>
    </row>
    <row r="20" spans="1:11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271</v>
      </c>
      <c r="H20" s="7" t="s">
        <v>317</v>
      </c>
      <c r="I20" s="4"/>
      <c r="J20" s="19"/>
      <c r="K20" s="16"/>
    </row>
    <row r="21" spans="1:11">
      <c r="A21" s="15">
        <v>43651</v>
      </c>
      <c r="B21" s="4">
        <v>309379</v>
      </c>
      <c r="C21" s="4" t="s">
        <v>172</v>
      </c>
      <c r="D21" s="77">
        <v>93118.23</v>
      </c>
      <c r="E21" s="5"/>
      <c r="F21" s="6">
        <f t="shared" si="0"/>
        <v>-93118.22999999988</v>
      </c>
      <c r="G21" s="9" t="s">
        <v>270</v>
      </c>
      <c r="H21" s="7"/>
      <c r="I21" s="4"/>
      <c r="J21" s="19"/>
      <c r="K21" s="16"/>
    </row>
    <row r="22" spans="1:11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272</v>
      </c>
      <c r="H22" s="7" t="s">
        <v>275</v>
      </c>
      <c r="I22" s="4">
        <v>7</v>
      </c>
      <c r="J22" s="19">
        <v>1</v>
      </c>
      <c r="K22" s="16"/>
    </row>
    <row r="23" spans="1:11">
      <c r="A23" s="15">
        <v>43651</v>
      </c>
      <c r="B23" s="4">
        <v>62019</v>
      </c>
      <c r="C23" s="4" t="s">
        <v>188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147</v>
      </c>
      <c r="H25" s="7"/>
      <c r="I25" s="4"/>
      <c r="J25" s="19"/>
      <c r="K25" s="16"/>
    </row>
    <row r="26" spans="1:11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147</v>
      </c>
      <c r="H26" s="7"/>
      <c r="I26" s="4"/>
      <c r="J26" s="19"/>
      <c r="K26" s="16"/>
    </row>
    <row r="27" spans="1:11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179</v>
      </c>
      <c r="H27" s="7" t="s">
        <v>86</v>
      </c>
      <c r="I27" s="4"/>
      <c r="J27" s="19"/>
      <c r="K27" s="16"/>
    </row>
    <row r="28" spans="1:11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177</v>
      </c>
      <c r="H28" s="7" t="s">
        <v>181</v>
      </c>
      <c r="I28" s="4">
        <v>1417372</v>
      </c>
      <c r="J28" s="19">
        <v>1</v>
      </c>
      <c r="K28" s="16"/>
    </row>
    <row r="29" spans="1:11">
      <c r="A29" s="15">
        <v>43656</v>
      </c>
      <c r="B29" s="4">
        <v>670036</v>
      </c>
      <c r="C29" s="4" t="s">
        <v>216</v>
      </c>
      <c r="D29" s="77">
        <v>2309.44</v>
      </c>
      <c r="E29" s="5"/>
      <c r="F29" s="6">
        <f t="shared" si="0"/>
        <v>180682.98000000016</v>
      </c>
      <c r="G29" s="9" t="s">
        <v>218</v>
      </c>
      <c r="H29" s="7" t="s">
        <v>222</v>
      </c>
      <c r="I29" s="4">
        <v>889242483</v>
      </c>
      <c r="J29" s="19">
        <v>1</v>
      </c>
      <c r="K29" s="16"/>
    </row>
    <row r="30" spans="1:11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149</v>
      </c>
      <c r="H30" s="7"/>
      <c r="I30" s="4"/>
      <c r="J30" s="19"/>
      <c r="K30" s="16"/>
    </row>
    <row r="31" spans="1:11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231</v>
      </c>
      <c r="H31" s="7" t="s">
        <v>236</v>
      </c>
      <c r="I31" s="4">
        <v>22799</v>
      </c>
      <c r="J31" s="19">
        <v>1</v>
      </c>
      <c r="K31" s="16">
        <v>43628</v>
      </c>
    </row>
    <row r="32" spans="1:11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145</v>
      </c>
      <c r="H32" s="7"/>
      <c r="I32" s="4"/>
      <c r="J32" s="19"/>
      <c r="K32" s="16"/>
    </row>
    <row r="33" spans="1:11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174</v>
      </c>
      <c r="H33" s="7" t="s">
        <v>310</v>
      </c>
      <c r="I33" s="4">
        <v>34</v>
      </c>
      <c r="J33" s="19">
        <v>2</v>
      </c>
      <c r="K33" s="16">
        <v>43650</v>
      </c>
    </row>
    <row r="34" spans="1:11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174</v>
      </c>
      <c r="H34" s="7" t="s">
        <v>276</v>
      </c>
      <c r="I34" s="4">
        <v>5</v>
      </c>
      <c r="J34" s="19">
        <v>5</v>
      </c>
      <c r="K34" s="16">
        <v>43654</v>
      </c>
    </row>
    <row r="35" spans="1:11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174</v>
      </c>
      <c r="H35" s="7" t="s">
        <v>318</v>
      </c>
      <c r="I35" s="4">
        <v>13</v>
      </c>
      <c r="J35" s="19">
        <v>1</v>
      </c>
      <c r="K35" s="16">
        <v>43650</v>
      </c>
    </row>
    <row r="36" spans="1:11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174</v>
      </c>
      <c r="H36" s="7" t="s">
        <v>183</v>
      </c>
      <c r="I36" s="4">
        <v>27</v>
      </c>
      <c r="J36" s="19">
        <v>1</v>
      </c>
      <c r="K36" s="16">
        <v>43654</v>
      </c>
    </row>
    <row r="37" spans="1:11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174</v>
      </c>
      <c r="H37" s="7" t="s">
        <v>61</v>
      </c>
      <c r="I37" s="4">
        <v>38</v>
      </c>
      <c r="J37" s="19">
        <v>9</v>
      </c>
      <c r="K37" s="16">
        <v>43654</v>
      </c>
    </row>
    <row r="38" spans="1:11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174</v>
      </c>
      <c r="H38" s="7" t="s">
        <v>302</v>
      </c>
      <c r="I38" s="4">
        <v>68</v>
      </c>
      <c r="J38" s="19">
        <v>3</v>
      </c>
      <c r="K38" s="16">
        <v>43651</v>
      </c>
    </row>
    <row r="39" spans="1:11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145</v>
      </c>
      <c r="H39" s="7"/>
      <c r="I39" s="4"/>
      <c r="J39" s="19"/>
      <c r="K39" s="16"/>
    </row>
    <row r="40" spans="1:11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174</v>
      </c>
      <c r="H40" s="7" t="s">
        <v>128</v>
      </c>
      <c r="I40" s="4">
        <v>40</v>
      </c>
      <c r="J40" s="19">
        <v>10</v>
      </c>
      <c r="K40" s="16">
        <v>43651</v>
      </c>
    </row>
    <row r="41" spans="1:11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174</v>
      </c>
      <c r="H41" s="7" t="s">
        <v>224</v>
      </c>
      <c r="I41" s="4">
        <v>23</v>
      </c>
      <c r="J41" s="19">
        <v>4</v>
      </c>
      <c r="K41" s="16">
        <v>43650</v>
      </c>
    </row>
    <row r="42" spans="1:11">
      <c r="A42" s="15">
        <v>43661</v>
      </c>
      <c r="B42" s="4">
        <v>268063</v>
      </c>
      <c r="C42" s="4" t="s">
        <v>173</v>
      </c>
      <c r="D42" s="77">
        <v>2352</v>
      </c>
      <c r="E42" s="5"/>
      <c r="F42" s="6">
        <f t="shared" si="0"/>
        <v>-2351.9999999998472</v>
      </c>
      <c r="G42" s="9" t="s">
        <v>178</v>
      </c>
      <c r="H42" s="7" t="s">
        <v>223</v>
      </c>
      <c r="I42" s="4">
        <v>465</v>
      </c>
      <c r="J42" s="19">
        <v>2</v>
      </c>
      <c r="K42" s="16">
        <v>43647</v>
      </c>
    </row>
    <row r="43" spans="1:11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145</v>
      </c>
      <c r="H43" s="7"/>
      <c r="I43" s="4"/>
      <c r="J43" s="19"/>
      <c r="K43" s="16"/>
    </row>
    <row r="44" spans="1:11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174</v>
      </c>
      <c r="H44" s="7" t="s">
        <v>127</v>
      </c>
      <c r="I44" s="4">
        <v>70</v>
      </c>
      <c r="J44" s="19">
        <v>3</v>
      </c>
      <c r="K44" s="16">
        <v>43656</v>
      </c>
    </row>
    <row r="45" spans="1:11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176</v>
      </c>
      <c r="H45" s="7"/>
      <c r="I45" s="4"/>
      <c r="J45" s="19"/>
      <c r="K45" s="16"/>
    </row>
    <row r="46" spans="1:11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234</v>
      </c>
      <c r="H46" s="7"/>
      <c r="I46" s="4"/>
      <c r="J46" s="19"/>
      <c r="K46" s="16"/>
    </row>
    <row r="47" spans="1:11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145</v>
      </c>
      <c r="H47" s="7"/>
      <c r="I47" s="4"/>
      <c r="J47" s="19"/>
      <c r="K47" s="16"/>
    </row>
    <row r="48" spans="1:11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174</v>
      </c>
      <c r="H48" s="7" t="s">
        <v>189</v>
      </c>
      <c r="I48" s="4">
        <v>11</v>
      </c>
      <c r="J48" s="19">
        <v>11</v>
      </c>
      <c r="K48" s="16">
        <v>43654</v>
      </c>
    </row>
    <row r="49" spans="1:11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151</v>
      </c>
      <c r="H49" s="7"/>
      <c r="I49" s="4"/>
      <c r="J49" s="19"/>
      <c r="K49" s="16"/>
    </row>
    <row r="50" spans="1:11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234</v>
      </c>
      <c r="H50" s="7"/>
      <c r="I50" s="4"/>
      <c r="J50" s="19"/>
      <c r="K50" s="16"/>
    </row>
    <row r="51" spans="1:11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145</v>
      </c>
      <c r="H51" s="7"/>
      <c r="I51" s="4"/>
      <c r="J51" s="19"/>
      <c r="K51" s="16"/>
    </row>
    <row r="52" spans="1:11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282</v>
      </c>
      <c r="H53" s="7" t="s">
        <v>256</v>
      </c>
      <c r="I53" s="4">
        <v>55</v>
      </c>
      <c r="J53" s="19">
        <v>1</v>
      </c>
      <c r="K53" s="16"/>
    </row>
    <row r="54" spans="1:11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282</v>
      </c>
      <c r="H55" s="7" t="s">
        <v>256</v>
      </c>
      <c r="I55" s="4">
        <v>59</v>
      </c>
      <c r="J55" s="19">
        <v>1</v>
      </c>
      <c r="K55" s="16"/>
    </row>
    <row r="56" spans="1:11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145</v>
      </c>
      <c r="H56" s="7"/>
      <c r="I56" s="4"/>
      <c r="J56" s="19"/>
      <c r="K56" s="16"/>
    </row>
    <row r="57" spans="1:11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273</v>
      </c>
      <c r="H57" s="7" t="s">
        <v>257</v>
      </c>
      <c r="I57" s="4">
        <v>1</v>
      </c>
      <c r="J57" s="19">
        <v>1</v>
      </c>
      <c r="K57" s="16"/>
    </row>
    <row r="58" spans="1:11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145</v>
      </c>
      <c r="H58" s="7"/>
      <c r="I58" s="4"/>
      <c r="J58" s="19"/>
      <c r="K58" s="16"/>
    </row>
    <row r="59" spans="1:11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150</v>
      </c>
      <c r="H59" s="7" t="s">
        <v>161</v>
      </c>
      <c r="I59" s="4">
        <v>1419970</v>
      </c>
      <c r="J59" s="19">
        <v>1</v>
      </c>
      <c r="K59" s="16"/>
    </row>
    <row r="60" spans="1:11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231</v>
      </c>
      <c r="H60" s="7" t="s">
        <v>319</v>
      </c>
      <c r="I60" s="4">
        <v>6263</v>
      </c>
      <c r="J60" s="19">
        <v>1</v>
      </c>
      <c r="K60" s="16">
        <v>43641</v>
      </c>
    </row>
    <row r="61" spans="1:11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231</v>
      </c>
      <c r="H61" s="7" t="s">
        <v>319</v>
      </c>
      <c r="I61" s="4">
        <v>6257</v>
      </c>
      <c r="J61" s="19">
        <v>1</v>
      </c>
      <c r="K61" s="16">
        <v>43637</v>
      </c>
    </row>
    <row r="62" spans="1:11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273</v>
      </c>
      <c r="H62" s="7" t="s">
        <v>257</v>
      </c>
      <c r="I62" s="4">
        <v>1</v>
      </c>
      <c r="J62" s="19">
        <v>1</v>
      </c>
      <c r="K62" s="16"/>
    </row>
    <row r="63" spans="1:11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234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>
      <c r="A65" s="324" t="s">
        <v>12</v>
      </c>
      <c r="B65" s="325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>
      <c r="A70" s="299" t="s">
        <v>123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</row>
    <row r="71" spans="1:11" ht="18" customHeight="1"/>
    <row r="72" spans="1:11" ht="18" customHeight="1">
      <c r="A72" s="318" t="s">
        <v>314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</row>
    <row r="73" spans="1:11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>
      <c r="A74" s="319" t="s">
        <v>21</v>
      </c>
      <c r="B74" s="320"/>
      <c r="C74" s="320"/>
      <c r="D74" s="320"/>
      <c r="E74" s="321"/>
      <c r="F74" s="3"/>
      <c r="G74" s="322" t="s">
        <v>20</v>
      </c>
      <c r="H74" s="322"/>
      <c r="I74" s="322"/>
      <c r="J74" s="322"/>
      <c r="K74" s="24"/>
    </row>
    <row r="75" spans="1:11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06">
        <f>SUMIF($G$8:$G$64,G75,$E$8:$E$64)</f>
        <v>282406.47000000003</v>
      </c>
      <c r="J75" s="307"/>
      <c r="K75" s="24"/>
    </row>
    <row r="76" spans="1:11">
      <c r="A76" s="27" t="s">
        <v>149</v>
      </c>
      <c r="B76" s="63"/>
      <c r="C76" s="63"/>
      <c r="D76" s="80"/>
      <c r="E76" s="29">
        <f t="shared" si="1"/>
        <v>180600</v>
      </c>
      <c r="F76" s="3"/>
      <c r="G76" s="316" t="s">
        <v>145</v>
      </c>
      <c r="H76" s="317"/>
      <c r="I76" s="306">
        <f>SUMIF($G$8:$G$64,G76,$E$8:$E$64)</f>
        <v>182510.47000000003</v>
      </c>
      <c r="J76" s="307"/>
      <c r="K76" s="24"/>
    </row>
    <row r="77" spans="1:11">
      <c r="A77" s="27" t="s">
        <v>174</v>
      </c>
      <c r="B77" s="63"/>
      <c r="C77" s="63"/>
      <c r="D77" s="80"/>
      <c r="E77" s="29">
        <f t="shared" si="1"/>
        <v>96216.729999999981</v>
      </c>
      <c r="F77" s="3"/>
      <c r="G77" s="316" t="s">
        <v>232</v>
      </c>
      <c r="H77" s="317"/>
      <c r="I77" s="306">
        <f>SUMIF($G$8:$G$64,G77,$E$8:$E$64)</f>
        <v>0</v>
      </c>
      <c r="J77" s="307"/>
      <c r="K77" s="24"/>
    </row>
    <row r="78" spans="1:11">
      <c r="A78" s="27" t="s">
        <v>177</v>
      </c>
      <c r="B78" s="63"/>
      <c r="C78" s="63"/>
      <c r="D78" s="80"/>
      <c r="E78" s="29">
        <f t="shared" si="1"/>
        <v>1013.6</v>
      </c>
      <c r="F78" s="3"/>
      <c r="G78" s="316" t="s">
        <v>234</v>
      </c>
      <c r="H78" s="317"/>
      <c r="I78" s="306">
        <f>SUMIF($G$8:$G$64,G78,$E$8:$E$64)</f>
        <v>387.12</v>
      </c>
      <c r="J78" s="307"/>
      <c r="K78" s="24"/>
    </row>
    <row r="79" spans="1:11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06">
        <f>SUMIF($G$8:$G$64,G79,$E$8:$E$64)</f>
        <v>0</v>
      </c>
      <c r="J79" s="307"/>
      <c r="K79" s="24"/>
    </row>
    <row r="80" spans="1:11">
      <c r="A80" s="27" t="s">
        <v>175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302">
        <f>SUM(I75:J79)</f>
        <v>465304.06000000006</v>
      </c>
      <c r="J80" s="303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191" t="s">
        <v>19</v>
      </c>
      <c r="H83" s="192"/>
      <c r="I83" s="306">
        <f>'CEF Junho 2019'!I86:J86</f>
        <v>226645.02999999994</v>
      </c>
      <c r="J83" s="307"/>
    </row>
    <row r="84" spans="1:11">
      <c r="A84" s="27" t="s">
        <v>270</v>
      </c>
      <c r="B84" s="63"/>
      <c r="C84" s="63"/>
      <c r="D84" s="80"/>
      <c r="E84" s="29">
        <f t="shared" si="1"/>
        <v>93118.23</v>
      </c>
      <c r="F84" s="3"/>
      <c r="G84" s="27" t="s">
        <v>149</v>
      </c>
      <c r="H84" s="192"/>
      <c r="I84" s="306">
        <f>SUMIF($G$8:$G$64,G84,$D$8:$D$64)</f>
        <v>180600</v>
      </c>
      <c r="J84" s="307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16" t="s">
        <v>145</v>
      </c>
      <c r="H85" s="317"/>
      <c r="I85" s="306">
        <f>-SUMIF($G$8:$G$64,G85,$E$8:$E$64)</f>
        <v>-182510.47000000003</v>
      </c>
      <c r="J85" s="307"/>
    </row>
    <row r="86" spans="1:11">
      <c r="A86" s="27" t="s">
        <v>29</v>
      </c>
      <c r="B86" s="63"/>
      <c r="C86" s="63"/>
      <c r="D86" s="80"/>
      <c r="E86" s="29">
        <f t="shared" si="1"/>
        <v>11100.26</v>
      </c>
      <c r="F86" s="3"/>
      <c r="G86" s="191" t="s">
        <v>30</v>
      </c>
      <c r="H86" s="192"/>
      <c r="I86" s="306">
        <v>1298.6400000000001</v>
      </c>
      <c r="J86" s="307"/>
    </row>
    <row r="87" spans="1:11">
      <c r="A87" s="27" t="s">
        <v>282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314"/>
      <c r="J87" s="315"/>
    </row>
    <row r="88" spans="1:11">
      <c r="A88" s="27" t="s">
        <v>273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310">
        <f>SUM(I83:J86)</f>
        <v>226033.1999999999</v>
      </c>
      <c r="J88" s="311"/>
    </row>
    <row r="89" spans="1:11">
      <c r="A89" s="27" t="s">
        <v>218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90"/>
      <c r="K89" s="24"/>
    </row>
    <row r="90" spans="1:11">
      <c r="A90" s="27" t="s">
        <v>231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312"/>
      <c r="J90" s="313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04">
        <f>'CEF Março 2019'!I88:J88</f>
        <v>0</v>
      </c>
      <c r="J91" s="305"/>
      <c r="K91" s="24"/>
    </row>
    <row r="92" spans="1:11">
      <c r="A92" s="27" t="s">
        <v>150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92"/>
      <c r="I92" s="306">
        <f>SUMIF($G$8:$G$64,G92,$E$8:$E$64)</f>
        <v>0</v>
      </c>
      <c r="J92" s="307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191" t="s">
        <v>14</v>
      </c>
      <c r="H93" s="192"/>
      <c r="I93" s="306">
        <f>-SUMIF($G$8:$G$64,G93,$D$8:$D$64)</f>
        <v>0</v>
      </c>
      <c r="J93" s="307"/>
      <c r="K93" s="24"/>
    </row>
    <row r="94" spans="1:11">
      <c r="A94" s="27" t="s">
        <v>151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314"/>
      <c r="J94" s="315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02">
        <f>SUM(I91:J94)</f>
        <v>0</v>
      </c>
      <c r="J95" s="303"/>
      <c r="K95" s="24"/>
    </row>
    <row r="96" spans="1:11">
      <c r="A96" s="27" t="s">
        <v>176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90"/>
      <c r="K96" s="24"/>
    </row>
    <row r="97" spans="1:13">
      <c r="A97" s="27" t="s">
        <v>272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3580.51</v>
      </c>
      <c r="F98" s="3"/>
      <c r="G98" s="191" t="s">
        <v>19</v>
      </c>
      <c r="H98" s="192"/>
      <c r="I98" s="308">
        <f>'CEF Junho 2019'!I100:J100</f>
        <v>51690.889999999898</v>
      </c>
      <c r="J98" s="309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191" t="s">
        <v>42</v>
      </c>
      <c r="H99" s="192"/>
      <c r="I99" s="291">
        <f>249997.75+16000+16408.72+10986.48</f>
        <v>293392.94999999995</v>
      </c>
      <c r="J99" s="292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2996.46</v>
      </c>
      <c r="F100" s="3"/>
      <c r="G100" s="191" t="s">
        <v>147</v>
      </c>
      <c r="H100" s="192"/>
      <c r="I100" s="306">
        <f>-SUMIF($G$8:$G$64,G100,$E$8:$E$64)</f>
        <v>-282406.47000000003</v>
      </c>
      <c r="J100" s="307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300"/>
      <c r="J101" s="301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310">
        <f>SUM(I98:J101)</f>
        <v>62677.369999999821</v>
      </c>
      <c r="J102" s="311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04">
        <f>'CEF Junho 2019'!I107:J107</f>
        <v>16726.260000000009</v>
      </c>
      <c r="J105" s="305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315</v>
      </c>
      <c r="H106" s="41"/>
      <c r="I106" s="306">
        <v>16657.060000000001</v>
      </c>
      <c r="J106" s="307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306"/>
      <c r="J107" s="307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00">
        <f>-SUMIF($G$8:$G$64,G108,$D$8:$D$64)</f>
        <v>-16726.259999999998</v>
      </c>
      <c r="J108" s="301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02">
        <f>SUM(I105:J108)</f>
        <v>16657.060000000009</v>
      </c>
      <c r="J109" s="303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90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316</v>
      </c>
      <c r="H112" s="192"/>
      <c r="I112" s="291">
        <v>33423.370000000003</v>
      </c>
      <c r="J112" s="292"/>
      <c r="K112" s="24"/>
    </row>
    <row r="113" spans="1:11">
      <c r="A113" s="297" t="s">
        <v>22</v>
      </c>
      <c r="B113" s="298"/>
      <c r="C113" s="298"/>
      <c r="D113" s="81"/>
      <c r="E113" s="35">
        <f>SUM(E75:E111)</f>
        <v>465286.88999999996</v>
      </c>
      <c r="F113" s="3"/>
      <c r="G113" s="27"/>
      <c r="H113" s="192"/>
      <c r="I113" s="291"/>
      <c r="J113" s="292"/>
      <c r="K113" s="24"/>
    </row>
    <row r="114" spans="1:11">
      <c r="E114" s="46">
        <f>D65-E113</f>
        <v>0</v>
      </c>
      <c r="F114" s="3"/>
      <c r="G114" s="27"/>
      <c r="H114" s="41"/>
      <c r="I114" s="295"/>
      <c r="J114" s="296"/>
      <c r="K114" s="24"/>
    </row>
    <row r="115" spans="1:11">
      <c r="F115" s="3"/>
      <c r="G115" s="89" t="s">
        <v>18</v>
      </c>
      <c r="H115" s="88"/>
      <c r="I115" s="302">
        <f>SUM(I112:J114)</f>
        <v>33423.370000000003</v>
      </c>
      <c r="J115" s="303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18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I65" sqref="I65:J6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226744.03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1298.6400000000001</v>
      </c>
      <c r="C4" s="41"/>
      <c r="D4" s="144"/>
      <c r="E4" s="41"/>
      <c r="F4" s="41"/>
    </row>
    <row r="5" spans="1:6" ht="15.75" thickBot="1">
      <c r="A5" s="177"/>
      <c r="B5" s="129">
        <v>387.12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510836.26</v>
      </c>
      <c r="C7" s="165"/>
      <c r="D7" s="144">
        <v>226149.37</v>
      </c>
      <c r="E7" s="185">
        <f>B7-D7</f>
        <v>284686.89</v>
      </c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f>154998.68</f>
        <v>154998.68</v>
      </c>
      <c r="C11" s="115">
        <f>1013.6+13310+16195.91+93118.23+11100.26+3331.02+885.14+496.8+19242.28+530.36+2996.46</f>
        <v>162220.05999999997</v>
      </c>
      <c r="D11" s="115"/>
      <c r="E11" s="166">
        <f t="shared" ref="E11:E27" si="0">C11+D11</f>
        <v>162220.05999999997</v>
      </c>
      <c r="F11" s="134">
        <f>13030+115.5+179+440312.93+7612.84+1139.88+4941.46+269.4</f>
        <v>467601.01000000007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103680</v>
      </c>
      <c r="C17" s="115">
        <f>96216.73+1182.89+2309.44+3580.51+2352</f>
        <v>105641.56999999999</v>
      </c>
      <c r="D17" s="115"/>
      <c r="E17" s="166">
        <f t="shared" si="0"/>
        <v>105641.56999999999</v>
      </c>
      <c r="F17" s="134">
        <f>1773+3212.22+2272.85+102280</f>
        <v>109538.07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16657.060000000001</v>
      </c>
      <c r="C26" s="151">
        <v>16726.259999999998</v>
      </c>
      <c r="D26" s="111"/>
      <c r="E26" s="166">
        <f t="shared" si="0"/>
        <v>16726.259999999998</v>
      </c>
      <c r="F26" s="115">
        <v>16657.060000000001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275434.74</v>
      </c>
      <c r="C28" s="152">
        <f>SUM(C11:C27)</f>
        <v>284587.88999999996</v>
      </c>
      <c r="D28" s="152">
        <f>SUM(D11:D27)</f>
        <v>99</v>
      </c>
      <c r="E28" s="152">
        <f>SUM(E11:E27)</f>
        <v>284686.88999999996</v>
      </c>
      <c r="F28" s="152">
        <f>SUM(F11:F27)</f>
        <v>593796.14000000013</v>
      </c>
      <c r="H28" s="46">
        <f>2671766.61-2077970.47</f>
        <v>593796.1399999999</v>
      </c>
      <c r="J28" s="46">
        <f>F28-H28</f>
        <v>0</v>
      </c>
    </row>
    <row r="31" spans="1:10">
      <c r="A31" s="199" t="s">
        <v>233</v>
      </c>
      <c r="B31" s="200"/>
      <c r="C31" s="200"/>
      <c r="D31" s="201"/>
      <c r="E31" s="182">
        <v>0</v>
      </c>
    </row>
    <row r="32" spans="1:10">
      <c r="A32" s="199" t="s">
        <v>149</v>
      </c>
      <c r="B32" s="200"/>
      <c r="C32" s="200"/>
      <c r="D32" s="201"/>
      <c r="E32" s="182"/>
      <c r="F32" s="182">
        <v>180600</v>
      </c>
    </row>
    <row r="33" spans="1:7">
      <c r="A33" s="199" t="s">
        <v>174</v>
      </c>
      <c r="B33" s="200"/>
      <c r="C33" s="200"/>
      <c r="D33" s="201"/>
      <c r="E33" s="182">
        <v>96216.729999999981</v>
      </c>
      <c r="F33" s="189" t="s">
        <v>193</v>
      </c>
    </row>
    <row r="34" spans="1:7">
      <c r="A34" s="199" t="s">
        <v>177</v>
      </c>
      <c r="B34" s="200"/>
      <c r="C34" s="200"/>
      <c r="D34" s="201"/>
      <c r="E34" s="182">
        <v>1013.6</v>
      </c>
      <c r="F34" s="189" t="s">
        <v>193</v>
      </c>
    </row>
    <row r="35" spans="1:7">
      <c r="A35" s="199" t="s">
        <v>255</v>
      </c>
      <c r="B35" s="200"/>
      <c r="C35" s="200"/>
      <c r="D35" s="201"/>
      <c r="E35" s="182">
        <v>0</v>
      </c>
    </row>
    <row r="36" spans="1:7">
      <c r="A36" s="199" t="s">
        <v>175</v>
      </c>
      <c r="B36" s="200"/>
      <c r="C36" s="200"/>
      <c r="D36" s="201"/>
      <c r="E36" s="182">
        <v>13310</v>
      </c>
      <c r="F36" s="189" t="s">
        <v>193</v>
      </c>
    </row>
    <row r="37" spans="1:7">
      <c r="A37" s="199" t="s">
        <v>221</v>
      </c>
      <c r="B37" s="200"/>
      <c r="C37" s="200"/>
      <c r="D37" s="201"/>
      <c r="E37" s="182">
        <v>0</v>
      </c>
      <c r="F37" s="39"/>
    </row>
    <row r="38" spans="1:7">
      <c r="A38" s="193" t="s">
        <v>271</v>
      </c>
      <c r="B38" s="194"/>
      <c r="C38" s="194"/>
      <c r="D38" s="195"/>
      <c r="E38" s="182">
        <v>16195.91</v>
      </c>
      <c r="F38" s="189" t="s">
        <v>193</v>
      </c>
    </row>
    <row r="39" spans="1:7">
      <c r="A39" s="199" t="s">
        <v>25</v>
      </c>
      <c r="B39" s="200"/>
      <c r="C39" s="200"/>
      <c r="D39" s="201"/>
      <c r="E39" s="182">
        <v>0</v>
      </c>
    </row>
    <row r="40" spans="1:7">
      <c r="A40" s="193" t="s">
        <v>270</v>
      </c>
      <c r="B40" s="194"/>
      <c r="C40" s="194"/>
      <c r="D40" s="195"/>
      <c r="E40" s="182">
        <v>93118.23</v>
      </c>
      <c r="F40" s="189" t="s">
        <v>193</v>
      </c>
    </row>
    <row r="41" spans="1:7">
      <c r="A41" s="193" t="s">
        <v>219</v>
      </c>
      <c r="B41" s="194"/>
      <c r="C41" s="194"/>
      <c r="D41" s="195"/>
      <c r="E41" s="182">
        <v>0</v>
      </c>
    </row>
    <row r="42" spans="1:7">
      <c r="A42" s="193" t="s">
        <v>29</v>
      </c>
      <c r="B42" s="194"/>
      <c r="C42" s="194"/>
      <c r="D42" s="195"/>
      <c r="E42" s="182">
        <v>11100.26</v>
      </c>
      <c r="F42" s="189" t="s">
        <v>193</v>
      </c>
    </row>
    <row r="43" spans="1:7">
      <c r="A43" s="193" t="s">
        <v>282</v>
      </c>
      <c r="B43" s="194"/>
      <c r="C43" s="194"/>
      <c r="D43" s="195"/>
      <c r="E43" s="182">
        <v>3331.02</v>
      </c>
      <c r="F43" s="189" t="s">
        <v>193</v>
      </c>
    </row>
    <row r="44" spans="1:7">
      <c r="A44" s="193" t="s">
        <v>273</v>
      </c>
      <c r="B44" s="194"/>
      <c r="C44" s="194"/>
      <c r="D44" s="195"/>
      <c r="E44" s="182">
        <v>1182.8900000000001</v>
      </c>
      <c r="F44" s="189" t="s">
        <v>193</v>
      </c>
    </row>
    <row r="45" spans="1:7">
      <c r="A45" s="199" t="s">
        <v>218</v>
      </c>
      <c r="B45" s="200"/>
      <c r="C45" s="200"/>
      <c r="D45" s="201"/>
      <c r="E45" s="182">
        <v>2309.44</v>
      </c>
      <c r="F45" s="189" t="s">
        <v>193</v>
      </c>
      <c r="G45" s="46"/>
    </row>
    <row r="46" spans="1:7">
      <c r="A46" s="193" t="s">
        <v>231</v>
      </c>
      <c r="B46" s="194"/>
      <c r="C46" s="194"/>
      <c r="D46" s="195"/>
      <c r="E46" s="182">
        <v>885.14</v>
      </c>
      <c r="F46" s="189" t="s">
        <v>193</v>
      </c>
    </row>
    <row r="47" spans="1:7">
      <c r="A47" s="193" t="s">
        <v>28</v>
      </c>
      <c r="B47" s="194"/>
      <c r="C47" s="194"/>
      <c r="D47" s="195"/>
      <c r="E47" s="182">
        <v>0</v>
      </c>
    </row>
    <row r="48" spans="1:7">
      <c r="A48" s="193" t="s">
        <v>150</v>
      </c>
      <c r="B48" s="194"/>
      <c r="C48" s="194"/>
      <c r="D48" s="195"/>
      <c r="E48" s="182">
        <v>496.8</v>
      </c>
      <c r="F48" s="189" t="s">
        <v>193</v>
      </c>
    </row>
    <row r="49" spans="1:6">
      <c r="A49" s="193" t="s">
        <v>220</v>
      </c>
      <c r="B49" s="194"/>
      <c r="C49" s="194"/>
      <c r="D49" s="195"/>
      <c r="E49" s="182">
        <v>0</v>
      </c>
    </row>
    <row r="50" spans="1:6">
      <c r="A50" s="193" t="s">
        <v>151</v>
      </c>
      <c r="B50" s="194"/>
      <c r="C50" s="194"/>
      <c r="D50" s="195"/>
      <c r="E50" s="182">
        <v>19242.28</v>
      </c>
      <c r="F50" s="189" t="s">
        <v>193</v>
      </c>
    </row>
    <row r="51" spans="1:6">
      <c r="A51" s="193" t="s">
        <v>49</v>
      </c>
      <c r="B51" s="194"/>
      <c r="C51" s="194"/>
      <c r="D51" s="195"/>
      <c r="E51" s="182">
        <v>0</v>
      </c>
    </row>
    <row r="52" spans="1:6">
      <c r="A52" s="193" t="s">
        <v>176</v>
      </c>
      <c r="B52" s="194"/>
      <c r="C52" s="194"/>
      <c r="D52" s="195"/>
      <c r="E52" s="182">
        <v>16726.259999999998</v>
      </c>
      <c r="F52" s="189" t="s">
        <v>193</v>
      </c>
    </row>
    <row r="53" spans="1:6">
      <c r="A53" s="193" t="s">
        <v>272</v>
      </c>
      <c r="B53" s="194"/>
      <c r="C53" s="194"/>
      <c r="D53" s="195"/>
      <c r="E53" s="182">
        <v>530.36</v>
      </c>
      <c r="F53" s="189" t="s">
        <v>193</v>
      </c>
    </row>
    <row r="54" spans="1:6">
      <c r="A54" s="193" t="s">
        <v>43</v>
      </c>
      <c r="B54" s="194"/>
      <c r="C54" s="194"/>
      <c r="D54" s="195"/>
      <c r="E54" s="182">
        <v>3580.51</v>
      </c>
      <c r="F54" s="189" t="s">
        <v>193</v>
      </c>
    </row>
    <row r="55" spans="1:6">
      <c r="A55" s="193" t="s">
        <v>274</v>
      </c>
      <c r="B55" s="194"/>
      <c r="C55" s="194"/>
      <c r="D55" s="195"/>
      <c r="E55" s="182">
        <v>0</v>
      </c>
    </row>
    <row r="56" spans="1:6">
      <c r="A56" s="193" t="s">
        <v>179</v>
      </c>
      <c r="B56" s="194"/>
      <c r="C56" s="194"/>
      <c r="D56" s="195"/>
      <c r="E56" s="182">
        <v>2996.46</v>
      </c>
      <c r="F56" s="189" t="s">
        <v>193</v>
      </c>
    </row>
    <row r="57" spans="1:6">
      <c r="A57" s="193" t="s">
        <v>146</v>
      </c>
      <c r="B57" s="194"/>
      <c r="C57" s="194"/>
      <c r="D57" s="195"/>
      <c r="E57" s="182">
        <v>0</v>
      </c>
    </row>
    <row r="58" spans="1:6">
      <c r="A58" s="193" t="s">
        <v>34</v>
      </c>
      <c r="B58" s="194"/>
      <c r="C58" s="194"/>
      <c r="D58" s="195"/>
      <c r="E58" s="182">
        <v>0</v>
      </c>
    </row>
    <row r="59" spans="1:6">
      <c r="A59" s="193" t="s">
        <v>178</v>
      </c>
      <c r="B59" s="194"/>
      <c r="C59" s="194"/>
      <c r="D59" s="195"/>
      <c r="E59" s="182">
        <v>2352</v>
      </c>
    </row>
    <row r="60" spans="1:6">
      <c r="A60" s="193" t="s">
        <v>72</v>
      </c>
      <c r="B60" s="194"/>
      <c r="C60" s="194"/>
      <c r="D60" s="195"/>
      <c r="E60" s="182">
        <v>99</v>
      </c>
    </row>
    <row r="61" spans="1:6">
      <c r="A61" s="193" t="s">
        <v>307</v>
      </c>
      <c r="B61" s="194"/>
      <c r="C61" s="194"/>
      <c r="D61" s="195"/>
      <c r="E61" s="182">
        <v>0</v>
      </c>
    </row>
    <row r="62" spans="1:6">
      <c r="A62" s="193" t="s">
        <v>120</v>
      </c>
      <c r="B62" s="194"/>
      <c r="C62" s="194"/>
      <c r="D62" s="195"/>
      <c r="E62" s="183">
        <v>0</v>
      </c>
      <c r="F62" s="46"/>
    </row>
    <row r="63" spans="1:6">
      <c r="A63" s="335"/>
      <c r="B63" s="336"/>
      <c r="C63" s="336"/>
      <c r="D63" s="336"/>
      <c r="E63" s="294"/>
      <c r="F63" s="46"/>
    </row>
    <row r="64" spans="1:6">
      <c r="A64" s="329" t="s">
        <v>22</v>
      </c>
      <c r="B64" s="330"/>
      <c r="C64" s="330"/>
      <c r="D64" s="331"/>
      <c r="E64" s="183">
        <f>SUM(E31:E62)</f>
        <v>284686.89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510836.26</v>
      </c>
    </row>
    <row r="68" spans="1:5" ht="23.25" thickBot="1">
      <c r="A68" s="155" t="s">
        <v>259</v>
      </c>
      <c r="B68" s="98">
        <f>E64</f>
        <v>284686.89</v>
      </c>
    </row>
    <row r="69" spans="1:5" ht="23.25" thickBot="1">
      <c r="A69" s="155" t="s">
        <v>260</v>
      </c>
      <c r="B69" s="98">
        <f>B67-B68</f>
        <v>226149.37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226149.37</v>
      </c>
      <c r="E71" s="46"/>
    </row>
    <row r="74" spans="1:5">
      <c r="E74" s="46"/>
    </row>
  </sheetData>
  <mergeCells count="5">
    <mergeCell ref="A64:D64"/>
    <mergeCell ref="A63:E63"/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topLeftCell="A16" workbookViewId="0">
      <selection activeCell="I65" sqref="I65:J65"/>
    </sheetView>
  </sheetViews>
  <sheetFormatPr defaultRowHeight="15"/>
  <cols>
    <col min="1" max="1" width="52.28515625" bestFit="1" customWidth="1"/>
    <col min="5" max="6" width="11.5703125" bestFit="1" customWidth="1"/>
    <col min="9" max="9" width="11.5703125" bestFit="1" customWidth="1"/>
    <col min="20" max="20" width="10.140625" bestFit="1" customWidth="1"/>
  </cols>
  <sheetData>
    <row r="2" spans="1:15">
      <c r="A2" t="s">
        <v>75</v>
      </c>
      <c r="F2" s="39">
        <v>29349.599999999999</v>
      </c>
      <c r="G2" t="s">
        <v>144</v>
      </c>
    </row>
    <row r="3" spans="1:15">
      <c r="A3" t="s">
        <v>75</v>
      </c>
      <c r="F3" s="39">
        <v>174548.14</v>
      </c>
      <c r="G3" t="s">
        <v>144</v>
      </c>
    </row>
    <row r="4" spans="1:15">
      <c r="A4" t="s">
        <v>35</v>
      </c>
      <c r="F4" s="39">
        <v>763.34</v>
      </c>
      <c r="G4" t="s">
        <v>144</v>
      </c>
    </row>
    <row r="5" spans="1:15">
      <c r="A5" t="s">
        <v>136</v>
      </c>
      <c r="E5" s="90">
        <v>317.8</v>
      </c>
    </row>
    <row r="6" spans="1:15">
      <c r="A6" t="s">
        <v>25</v>
      </c>
      <c r="E6" s="90">
        <v>184.33</v>
      </c>
    </row>
    <row r="7" spans="1:15">
      <c r="A7" t="s">
        <v>24</v>
      </c>
      <c r="E7" s="90">
        <v>14655.109999999997</v>
      </c>
    </row>
    <row r="8" spans="1:15">
      <c r="A8" t="s">
        <v>24</v>
      </c>
      <c r="E8" s="90">
        <v>80188.449999999983</v>
      </c>
    </row>
    <row r="9" spans="1:15">
      <c r="A9" t="s">
        <v>29</v>
      </c>
      <c r="E9" s="90">
        <v>1058.8700000000001</v>
      </c>
    </row>
    <row r="10" spans="1:15">
      <c r="A10" t="s">
        <v>29</v>
      </c>
      <c r="E10" s="90">
        <v>8134.6</v>
      </c>
    </row>
    <row r="11" spans="1:15">
      <c r="A11" t="s">
        <v>31</v>
      </c>
      <c r="E11" s="90">
        <v>197.07</v>
      </c>
    </row>
    <row r="12" spans="1:15">
      <c r="A12" t="s">
        <v>28</v>
      </c>
      <c r="E12" s="90">
        <v>378.40000000000003</v>
      </c>
    </row>
    <row r="13" spans="1:15">
      <c r="A13" t="s">
        <v>50</v>
      </c>
      <c r="E13" s="90">
        <v>372.40000000000003</v>
      </c>
    </row>
    <row r="14" spans="1:15">
      <c r="A14" t="s">
        <v>49</v>
      </c>
      <c r="E14" s="92"/>
      <c r="F14" s="39">
        <v>30000</v>
      </c>
    </row>
    <row r="15" spans="1:15">
      <c r="A15" t="s">
        <v>49</v>
      </c>
      <c r="E15" s="92"/>
      <c r="F15" s="39">
        <v>80000</v>
      </c>
      <c r="G15" t="s">
        <v>144</v>
      </c>
    </row>
    <row r="16" spans="1:15">
      <c r="A16" t="s">
        <v>36</v>
      </c>
      <c r="E16" s="92"/>
      <c r="F16" s="39">
        <v>245.31</v>
      </c>
      <c r="G16" t="s">
        <v>144</v>
      </c>
      <c r="O16">
        <v>133749.13</v>
      </c>
    </row>
    <row r="17" spans="1:20">
      <c r="A17" t="s">
        <v>36</v>
      </c>
      <c r="E17" s="91">
        <v>0</v>
      </c>
      <c r="O17">
        <f>O16+378.4</f>
        <v>134127.53</v>
      </c>
    </row>
    <row r="18" spans="1:20">
      <c r="A18" t="s">
        <v>43</v>
      </c>
      <c r="E18" s="90">
        <v>407.24</v>
      </c>
    </row>
    <row r="19" spans="1:20">
      <c r="A19" t="s">
        <v>26</v>
      </c>
      <c r="E19" s="90">
        <v>3855.37</v>
      </c>
    </row>
    <row r="20" spans="1:20">
      <c r="A20" t="s">
        <v>34</v>
      </c>
      <c r="E20" s="90">
        <v>8219.4500000000007</v>
      </c>
    </row>
    <row r="21" spans="1:20">
      <c r="A21" t="s">
        <v>34</v>
      </c>
      <c r="E21" s="90">
        <v>80581.16</v>
      </c>
    </row>
    <row r="22" spans="1:20">
      <c r="A22" t="s">
        <v>72</v>
      </c>
      <c r="E22" s="90">
        <v>258.85000000000002</v>
      </c>
    </row>
    <row r="23" spans="1:20">
      <c r="A23" t="s">
        <v>72</v>
      </c>
      <c r="E23" s="90">
        <f>91.5-55.85</f>
        <v>35.65</v>
      </c>
    </row>
    <row r="24" spans="1:20">
      <c r="A24" t="s">
        <v>120</v>
      </c>
      <c r="E24" s="90">
        <v>8200</v>
      </c>
    </row>
    <row r="25" spans="1:20" ht="15.75" thickBot="1">
      <c r="A25" t="s">
        <v>120</v>
      </c>
      <c r="E25" s="90">
        <v>17100</v>
      </c>
    </row>
    <row r="26" spans="1:20" ht="15.75" thickBot="1">
      <c r="E26" s="92"/>
      <c r="N26" s="93">
        <v>305702.21999999997</v>
      </c>
      <c r="O26" s="94">
        <v>0</v>
      </c>
      <c r="P26" s="95">
        <v>134127.5</v>
      </c>
      <c r="Q26" s="95">
        <v>134127.5</v>
      </c>
      <c r="R26" s="94"/>
      <c r="T26" s="95">
        <f t="shared" ref="T26:T42" si="0">N26-Q26</f>
        <v>171574.71999999997</v>
      </c>
    </row>
    <row r="27" spans="1:20" ht="15.75" thickBot="1">
      <c r="I27" s="39">
        <v>300312.14</v>
      </c>
      <c r="N27" s="96">
        <v>174754.89</v>
      </c>
      <c r="O27" s="97">
        <v>0</v>
      </c>
      <c r="P27" s="98">
        <v>89722.72</v>
      </c>
      <c r="Q27" s="98">
        <v>89722.72</v>
      </c>
      <c r="R27" s="97"/>
      <c r="T27" s="98">
        <f t="shared" si="0"/>
        <v>85032.170000000013</v>
      </c>
    </row>
    <row r="28" spans="1:20" ht="15.75" thickBot="1">
      <c r="I28" s="39"/>
      <c r="N28" s="99">
        <v>0</v>
      </c>
      <c r="O28" s="97">
        <v>0</v>
      </c>
      <c r="P28" s="97">
        <v>0</v>
      </c>
      <c r="Q28" s="97">
        <v>0</v>
      </c>
      <c r="R28" s="97"/>
      <c r="T28" s="97">
        <f t="shared" si="0"/>
        <v>0</v>
      </c>
    </row>
    <row r="29" spans="1:20" ht="15.75" thickBot="1">
      <c r="E29" s="39">
        <f>SUM(E2:E25)</f>
        <v>224144.74999999997</v>
      </c>
      <c r="I29" s="39">
        <f>I27-76167.39</f>
        <v>224144.75</v>
      </c>
      <c r="N29" s="99">
        <v>0</v>
      </c>
      <c r="O29" s="97">
        <v>0</v>
      </c>
      <c r="P29" s="97">
        <v>0</v>
      </c>
      <c r="Q29" s="97">
        <v>0</v>
      </c>
      <c r="R29" s="97"/>
      <c r="T29" s="97">
        <f t="shared" si="0"/>
        <v>0</v>
      </c>
    </row>
    <row r="30" spans="1:20" ht="15.75" thickBot="1">
      <c r="I30" s="39"/>
      <c r="N30" s="99">
        <v>0</v>
      </c>
      <c r="O30" s="97">
        <v>0</v>
      </c>
      <c r="P30" s="97">
        <v>0</v>
      </c>
      <c r="Q30" s="97">
        <v>0</v>
      </c>
      <c r="R30" s="97"/>
      <c r="T30" s="97">
        <f t="shared" si="0"/>
        <v>0</v>
      </c>
    </row>
    <row r="31" spans="1:20" ht="15.75" thickBot="1">
      <c r="N31" s="99">
        <v>0</v>
      </c>
      <c r="O31" s="97">
        <v>0</v>
      </c>
      <c r="P31" s="97">
        <v>0</v>
      </c>
      <c r="Q31" s="97">
        <v>0</v>
      </c>
      <c r="R31" s="97"/>
      <c r="T31" s="97">
        <f t="shared" si="0"/>
        <v>0</v>
      </c>
    </row>
    <row r="32" spans="1:20" ht="15.75" thickBot="1">
      <c r="N32" s="99">
        <v>0</v>
      </c>
      <c r="O32" s="97">
        <v>0</v>
      </c>
      <c r="P32" s="97">
        <v>0</v>
      </c>
      <c r="Q32" s="97">
        <v>0</v>
      </c>
      <c r="R32" s="97"/>
      <c r="T32" s="97">
        <f t="shared" si="0"/>
        <v>0</v>
      </c>
    </row>
    <row r="33" spans="14:20" ht="15.75" thickBot="1">
      <c r="N33" s="99">
        <v>0</v>
      </c>
      <c r="O33" s="97">
        <v>0</v>
      </c>
      <c r="P33" s="97">
        <v>0</v>
      </c>
      <c r="Q33" s="97">
        <v>0</v>
      </c>
      <c r="R33" s="97"/>
      <c r="T33" s="97">
        <f t="shared" si="0"/>
        <v>0</v>
      </c>
    </row>
    <row r="34" spans="14:20" ht="15.75" thickBot="1">
      <c r="N34" s="99">
        <v>0</v>
      </c>
      <c r="O34" s="97">
        <v>0</v>
      </c>
      <c r="P34" s="97">
        <v>0</v>
      </c>
      <c r="Q34" s="97">
        <v>0</v>
      </c>
      <c r="R34" s="97"/>
      <c r="T34" s="97">
        <f t="shared" si="0"/>
        <v>0</v>
      </c>
    </row>
    <row r="35" spans="14:20" ht="15.75" thickBot="1">
      <c r="N35" s="99">
        <v>0</v>
      </c>
      <c r="O35" s="97">
        <v>0</v>
      </c>
      <c r="P35" s="97">
        <v>0</v>
      </c>
      <c r="Q35" s="97">
        <v>0</v>
      </c>
      <c r="R35" s="97"/>
      <c r="T35" s="97">
        <f t="shared" si="0"/>
        <v>0</v>
      </c>
    </row>
    <row r="36" spans="14:20" ht="15.75" thickBot="1">
      <c r="N36" s="99">
        <v>0</v>
      </c>
      <c r="O36" s="97">
        <v>0</v>
      </c>
      <c r="P36" s="97">
        <v>0</v>
      </c>
      <c r="Q36" s="97">
        <v>0</v>
      </c>
      <c r="R36" s="97"/>
      <c r="T36" s="97">
        <f t="shared" si="0"/>
        <v>0</v>
      </c>
    </row>
    <row r="37" spans="14:20" ht="15.75" thickBot="1">
      <c r="N37" s="99">
        <v>0</v>
      </c>
      <c r="O37" s="97">
        <v>0</v>
      </c>
      <c r="P37" s="97">
        <v>0</v>
      </c>
      <c r="Q37" s="97">
        <v>0</v>
      </c>
      <c r="R37" s="97"/>
      <c r="T37" s="97">
        <f t="shared" si="0"/>
        <v>0</v>
      </c>
    </row>
    <row r="38" spans="14:20" ht="15.75" thickBot="1">
      <c r="N38" s="99">
        <v>0</v>
      </c>
      <c r="O38" s="97">
        <v>0</v>
      </c>
      <c r="P38" s="97">
        <v>0</v>
      </c>
      <c r="Q38" s="97">
        <v>0</v>
      </c>
      <c r="R38" s="97"/>
      <c r="T38" s="97">
        <f t="shared" si="0"/>
        <v>0</v>
      </c>
    </row>
    <row r="39" spans="14:20" ht="15.75" thickBot="1">
      <c r="N39" s="99">
        <v>0</v>
      </c>
      <c r="O39" s="97">
        <v>0</v>
      </c>
      <c r="P39" s="97">
        <v>0</v>
      </c>
      <c r="Q39" s="97">
        <v>0</v>
      </c>
      <c r="R39" s="97"/>
      <c r="T39" s="97">
        <f t="shared" si="0"/>
        <v>0</v>
      </c>
    </row>
    <row r="40" spans="14:20" ht="15.75" thickBot="1">
      <c r="N40" s="99">
        <v>-20.37</v>
      </c>
      <c r="O40" s="97">
        <v>0</v>
      </c>
      <c r="P40" s="97">
        <v>294.5</v>
      </c>
      <c r="Q40" s="97">
        <v>294.5</v>
      </c>
      <c r="R40" s="97"/>
      <c r="T40" s="97">
        <f t="shared" si="0"/>
        <v>-314.87</v>
      </c>
    </row>
    <row r="41" spans="14:20" ht="15.75" thickBot="1">
      <c r="N41" s="99">
        <v>0</v>
      </c>
      <c r="O41" s="97">
        <v>0</v>
      </c>
      <c r="P41" s="97">
        <v>0</v>
      </c>
      <c r="Q41" s="97">
        <v>0</v>
      </c>
      <c r="R41" s="97"/>
      <c r="T41" s="97">
        <f t="shared" si="0"/>
        <v>0</v>
      </c>
    </row>
    <row r="42" spans="14:20" ht="15.75" thickBot="1">
      <c r="N42" s="96">
        <v>480436.74</v>
      </c>
      <c r="O42" s="97">
        <v>0</v>
      </c>
      <c r="P42" s="98">
        <v>224144.75</v>
      </c>
      <c r="Q42" s="98">
        <v>224144.75</v>
      </c>
      <c r="R42" s="97"/>
      <c r="T42" s="98">
        <f t="shared" si="0"/>
        <v>256291.99</v>
      </c>
    </row>
  </sheetData>
  <sortState ref="A2:E25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0" workbookViewId="0">
      <selection activeCell="A65" sqref="A65:K65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320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145</v>
      </c>
      <c r="H10" s="7"/>
      <c r="I10" s="4"/>
      <c r="J10" s="19"/>
      <c r="K10" s="16"/>
    </row>
    <row r="11" spans="1:11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175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174</v>
      </c>
      <c r="H12" s="7" t="s">
        <v>180</v>
      </c>
      <c r="I12" s="4">
        <v>79</v>
      </c>
      <c r="J12" s="19">
        <v>1</v>
      </c>
      <c r="K12" s="16">
        <v>43640</v>
      </c>
    </row>
    <row r="13" spans="1:11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271</v>
      </c>
      <c r="H13" s="7" t="s">
        <v>107</v>
      </c>
      <c r="I13" s="4"/>
      <c r="J13" s="19"/>
      <c r="K13" s="16"/>
    </row>
    <row r="14" spans="1:11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145</v>
      </c>
      <c r="H14" s="7"/>
      <c r="I14" s="4"/>
      <c r="J14" s="19"/>
      <c r="K14" s="16"/>
    </row>
    <row r="15" spans="1:11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271</v>
      </c>
      <c r="H15" s="7" t="s">
        <v>325</v>
      </c>
      <c r="I15" s="4"/>
      <c r="J15" s="19"/>
      <c r="K15" s="16"/>
    </row>
    <row r="16" spans="1:11">
      <c r="A16" s="15">
        <v>43682</v>
      </c>
      <c r="B16" s="4">
        <v>72019</v>
      </c>
      <c r="C16" s="4" t="s">
        <v>188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145</v>
      </c>
      <c r="H17" s="7"/>
      <c r="I17" s="4"/>
      <c r="J17" s="19"/>
      <c r="K17" s="16"/>
    </row>
    <row r="18" spans="1:11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147</v>
      </c>
      <c r="H18" s="7"/>
      <c r="I18" s="4"/>
      <c r="J18" s="19"/>
      <c r="K18" s="16"/>
    </row>
    <row r="19" spans="1:11">
      <c r="A19" s="15">
        <v>43683</v>
      </c>
      <c r="B19" s="4">
        <v>309379</v>
      </c>
      <c r="C19" s="4" t="s">
        <v>172</v>
      </c>
      <c r="D19" s="77">
        <v>89858.13</v>
      </c>
      <c r="E19" s="5"/>
      <c r="F19" s="6">
        <f t="shared" si="0"/>
        <v>116216.80000000013</v>
      </c>
      <c r="G19" s="9" t="s">
        <v>270</v>
      </c>
      <c r="H19" s="7"/>
      <c r="I19" s="4"/>
      <c r="J19" s="19"/>
      <c r="K19" s="16"/>
    </row>
    <row r="20" spans="1:11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272</v>
      </c>
      <c r="H20" s="7" t="s">
        <v>275</v>
      </c>
      <c r="I20" s="4">
        <v>8</v>
      </c>
      <c r="J20" s="19">
        <v>1</v>
      </c>
      <c r="K20" s="16"/>
    </row>
    <row r="21" spans="1:11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149</v>
      </c>
      <c r="H21" s="7"/>
      <c r="I21" s="4"/>
      <c r="J21" s="19"/>
      <c r="K21" s="16"/>
    </row>
    <row r="22" spans="1:11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147</v>
      </c>
      <c r="H22" s="7"/>
      <c r="I22" s="4"/>
      <c r="J22" s="19"/>
      <c r="K22" s="16"/>
    </row>
    <row r="23" spans="1:11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271</v>
      </c>
      <c r="H23" s="7" t="s">
        <v>326</v>
      </c>
      <c r="I23" s="4"/>
      <c r="J23" s="19"/>
      <c r="K23" s="16"/>
    </row>
    <row r="24" spans="1:11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145</v>
      </c>
      <c r="H25" s="7"/>
      <c r="I25" s="4"/>
      <c r="J25" s="19"/>
      <c r="K25" s="16"/>
    </row>
    <row r="26" spans="1:11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145</v>
      </c>
      <c r="H26" s="7"/>
      <c r="I26" s="4"/>
      <c r="J26" s="19"/>
      <c r="K26" s="16"/>
    </row>
    <row r="27" spans="1:11">
      <c r="A27" s="15">
        <v>43689</v>
      </c>
      <c r="B27" s="4">
        <v>682557</v>
      </c>
      <c r="C27" s="4" t="s">
        <v>216</v>
      </c>
      <c r="D27" s="77">
        <v>2272.85</v>
      </c>
      <c r="E27" s="5"/>
      <c r="F27" s="6">
        <f t="shared" si="0"/>
        <v>1.3369572116062045E-10</v>
      </c>
      <c r="G27" s="9" t="s">
        <v>218</v>
      </c>
      <c r="H27" s="7" t="s">
        <v>222</v>
      </c>
      <c r="I27" s="4">
        <v>889253575</v>
      </c>
      <c r="J27" s="19">
        <v>1</v>
      </c>
      <c r="K27" s="16">
        <v>43683</v>
      </c>
    </row>
    <row r="28" spans="1:11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174</v>
      </c>
      <c r="H28" s="7" t="s">
        <v>310</v>
      </c>
      <c r="I28" s="4">
        <v>39</v>
      </c>
      <c r="J28" s="19">
        <v>3</v>
      </c>
      <c r="K28" s="16">
        <v>43678</v>
      </c>
    </row>
    <row r="29" spans="1:11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174</v>
      </c>
      <c r="H29" s="7" t="s">
        <v>276</v>
      </c>
      <c r="I29" s="4">
        <v>6</v>
      </c>
      <c r="J29" s="19">
        <v>6</v>
      </c>
      <c r="K29" s="16">
        <v>43683</v>
      </c>
    </row>
    <row r="30" spans="1:11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174</v>
      </c>
      <c r="H30" s="7" t="s">
        <v>318</v>
      </c>
      <c r="I30" s="4">
        <v>17</v>
      </c>
      <c r="J30" s="19">
        <v>2</v>
      </c>
      <c r="K30" s="16">
        <v>43683</v>
      </c>
    </row>
    <row r="31" spans="1:11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174</v>
      </c>
      <c r="H31" s="7" t="s">
        <v>302</v>
      </c>
      <c r="I31" s="4">
        <v>75</v>
      </c>
      <c r="J31" s="19">
        <v>4</v>
      </c>
      <c r="K31" s="16">
        <v>43683</v>
      </c>
    </row>
    <row r="32" spans="1:11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174</v>
      </c>
      <c r="H32" s="7" t="s">
        <v>183</v>
      </c>
      <c r="I32" s="4">
        <v>35</v>
      </c>
      <c r="J32" s="19">
        <v>2</v>
      </c>
      <c r="K32" s="16">
        <v>43685</v>
      </c>
    </row>
    <row r="33" spans="1:11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174</v>
      </c>
      <c r="H33" s="7" t="s">
        <v>224</v>
      </c>
      <c r="I33" s="4">
        <v>24</v>
      </c>
      <c r="J33" s="19">
        <v>5</v>
      </c>
      <c r="K33" s="16">
        <v>43683</v>
      </c>
    </row>
    <row r="34" spans="1:11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174</v>
      </c>
      <c r="H34" s="7" t="s">
        <v>127</v>
      </c>
      <c r="I34" s="4">
        <v>72</v>
      </c>
      <c r="J34" s="19">
        <v>4</v>
      </c>
      <c r="K34" s="16">
        <v>43684</v>
      </c>
    </row>
    <row r="35" spans="1:11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174</v>
      </c>
      <c r="H35" s="7" t="s">
        <v>61</v>
      </c>
      <c r="I35" s="4">
        <v>40</v>
      </c>
      <c r="J35" s="19">
        <v>10</v>
      </c>
      <c r="K35" s="16">
        <v>43684</v>
      </c>
    </row>
    <row r="36" spans="1:11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145</v>
      </c>
      <c r="H36" s="7"/>
      <c r="I36" s="4"/>
      <c r="J36" s="19"/>
      <c r="K36" s="16"/>
    </row>
    <row r="37" spans="1:11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145</v>
      </c>
      <c r="H37" s="7"/>
      <c r="I37" s="4"/>
      <c r="J37" s="19"/>
      <c r="K37" s="16"/>
    </row>
    <row r="38" spans="1:11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174</v>
      </c>
      <c r="H38" s="7" t="s">
        <v>128</v>
      </c>
      <c r="I38" s="4">
        <v>42</v>
      </c>
      <c r="J38" s="19">
        <v>11</v>
      </c>
      <c r="K38" s="16">
        <v>43684</v>
      </c>
    </row>
    <row r="39" spans="1:11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282</v>
      </c>
      <c r="H39" s="7" t="s">
        <v>256</v>
      </c>
      <c r="I39" s="4">
        <v>65</v>
      </c>
      <c r="J39" s="19">
        <v>1</v>
      </c>
      <c r="K39" s="16"/>
    </row>
    <row r="40" spans="1:11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282</v>
      </c>
      <c r="H41" s="7" t="s">
        <v>256</v>
      </c>
      <c r="I41" s="4">
        <v>71</v>
      </c>
      <c r="J41" s="19">
        <v>1</v>
      </c>
      <c r="K41" s="16"/>
    </row>
    <row r="42" spans="1:11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150</v>
      </c>
      <c r="H43" s="7" t="s">
        <v>161</v>
      </c>
      <c r="I43" s="4">
        <v>1439421</v>
      </c>
      <c r="J43" s="19">
        <v>1</v>
      </c>
      <c r="K43" s="16"/>
    </row>
    <row r="44" spans="1:11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145</v>
      </c>
      <c r="H44" s="7"/>
      <c r="I44" s="4"/>
      <c r="J44" s="19"/>
      <c r="K44" s="16"/>
    </row>
    <row r="45" spans="1:11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273</v>
      </c>
      <c r="H45" s="7" t="s">
        <v>257</v>
      </c>
      <c r="I45" s="4">
        <v>109</v>
      </c>
      <c r="J45" s="19">
        <v>1</v>
      </c>
      <c r="K45" s="16"/>
    </row>
    <row r="46" spans="1:11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282</v>
      </c>
      <c r="H46" s="7" t="s">
        <v>256</v>
      </c>
      <c r="I46" s="4">
        <v>70</v>
      </c>
      <c r="J46" s="19">
        <v>1</v>
      </c>
      <c r="K46" s="16"/>
    </row>
    <row r="47" spans="1:11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145</v>
      </c>
      <c r="H47" s="7"/>
      <c r="I47" s="4"/>
      <c r="J47" s="19"/>
      <c r="K47" s="16"/>
    </row>
    <row r="48" spans="1:11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176</v>
      </c>
      <c r="H48" s="7"/>
      <c r="I48" s="4"/>
      <c r="J48" s="19"/>
      <c r="K48" s="16"/>
    </row>
    <row r="49" spans="1:11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174</v>
      </c>
      <c r="H49" s="7" t="s">
        <v>189</v>
      </c>
      <c r="I49" s="4">
        <v>12</v>
      </c>
      <c r="J49" s="19">
        <v>12</v>
      </c>
      <c r="K49" s="16">
        <v>43685</v>
      </c>
    </row>
    <row r="50" spans="1:11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145</v>
      </c>
      <c r="H50" s="7"/>
      <c r="I50" s="4"/>
      <c r="J50" s="19"/>
      <c r="K50" s="16"/>
    </row>
    <row r="51" spans="1:11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145</v>
      </c>
      <c r="H51" s="7"/>
      <c r="I51" s="4"/>
      <c r="J51" s="19"/>
      <c r="K51" s="16"/>
    </row>
    <row r="52" spans="1:11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328</v>
      </c>
      <c r="I52" s="4">
        <v>1476</v>
      </c>
      <c r="J52" s="19">
        <v>1</v>
      </c>
      <c r="K52" s="16">
        <v>43669</v>
      </c>
    </row>
    <row r="53" spans="1:11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145</v>
      </c>
      <c r="H53" s="7"/>
      <c r="I53" s="4"/>
      <c r="J53" s="19"/>
      <c r="K53" s="16"/>
    </row>
    <row r="54" spans="1:11">
      <c r="A54" s="15">
        <v>43704</v>
      </c>
      <c r="B54" s="4">
        <v>271558</v>
      </c>
      <c r="C54" s="4" t="s">
        <v>173</v>
      </c>
      <c r="D54" s="77">
        <v>4708.18</v>
      </c>
      <c r="E54" s="5"/>
      <c r="F54" s="6">
        <f t="shared" si="0"/>
        <v>1.3096723705530167E-10</v>
      </c>
      <c r="G54" s="9" t="s">
        <v>324</v>
      </c>
      <c r="H54" s="7"/>
      <c r="I54" s="4"/>
      <c r="J54" s="19"/>
      <c r="K54" s="16"/>
    </row>
    <row r="55" spans="1:11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151</v>
      </c>
      <c r="H55" s="7"/>
      <c r="I55" s="4"/>
      <c r="J55" s="19"/>
      <c r="K55" s="16"/>
    </row>
    <row r="56" spans="1:11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24" t="s">
        <v>12</v>
      </c>
      <c r="B58" s="325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99" t="s">
        <v>123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</row>
    <row r="64" spans="1:11" ht="18" customHeight="1"/>
    <row r="65" spans="1:11" ht="18" customHeight="1">
      <c r="A65" s="318" t="s">
        <v>321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19" t="s">
        <v>21</v>
      </c>
      <c r="B67" s="320"/>
      <c r="C67" s="320"/>
      <c r="D67" s="320"/>
      <c r="E67" s="321"/>
      <c r="F67" s="3"/>
      <c r="G67" s="322" t="s">
        <v>20</v>
      </c>
      <c r="H67" s="322"/>
      <c r="I67" s="322"/>
      <c r="J67" s="322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06">
        <f>SUMIF($G$8:$G$57,G68,$E$8:$E$57)</f>
        <v>293392.95</v>
      </c>
      <c r="J68" s="307"/>
      <c r="K68" s="24"/>
    </row>
    <row r="69" spans="1:11">
      <c r="A69" s="27" t="s">
        <v>149</v>
      </c>
      <c r="B69" s="63"/>
      <c r="C69" s="63"/>
      <c r="D69" s="80"/>
      <c r="E69" s="29">
        <f t="shared" si="1"/>
        <v>200000</v>
      </c>
      <c r="F69" s="3"/>
      <c r="G69" s="316" t="s">
        <v>145</v>
      </c>
      <c r="H69" s="317"/>
      <c r="I69" s="306">
        <f>SUMIF($G$8:$G$57,G69,$E$8:$E$57)</f>
        <v>169003.49</v>
      </c>
      <c r="J69" s="307"/>
      <c r="K69" s="24"/>
    </row>
    <row r="70" spans="1:11">
      <c r="A70" s="27" t="s">
        <v>174</v>
      </c>
      <c r="B70" s="63"/>
      <c r="C70" s="63"/>
      <c r="D70" s="80"/>
      <c r="E70" s="29">
        <f t="shared" si="1"/>
        <v>97229.12999999999</v>
      </c>
      <c r="F70" s="3"/>
      <c r="G70" s="316" t="s">
        <v>232</v>
      </c>
      <c r="H70" s="317"/>
      <c r="I70" s="306">
        <f>SUMIF($G$8:$G$57,G70,$E$8:$E$57)</f>
        <v>0</v>
      </c>
      <c r="J70" s="307"/>
      <c r="K70" s="24"/>
    </row>
    <row r="71" spans="1:11">
      <c r="A71" s="27" t="s">
        <v>177</v>
      </c>
      <c r="B71" s="63"/>
      <c r="C71" s="63"/>
      <c r="D71" s="80"/>
      <c r="E71" s="29">
        <f t="shared" si="1"/>
        <v>0</v>
      </c>
      <c r="F71" s="3"/>
      <c r="G71" s="316" t="s">
        <v>234</v>
      </c>
      <c r="H71" s="317"/>
      <c r="I71" s="306">
        <f>SUMIF($G$8:$G$57,G71,$E$8:$E$57)</f>
        <v>0</v>
      </c>
      <c r="J71" s="307"/>
      <c r="K71" s="24"/>
    </row>
    <row r="72" spans="1:11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06">
        <f>SUMIF($G$8:$G$57,G72,$E$8:$E$57)</f>
        <v>0</v>
      </c>
      <c r="J72" s="307"/>
      <c r="K72" s="24"/>
    </row>
    <row r="73" spans="1:11">
      <c r="A73" s="27" t="s">
        <v>175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302">
        <f>SUM(I68:J72)</f>
        <v>462396.44</v>
      </c>
      <c r="J73" s="303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97" t="s">
        <v>19</v>
      </c>
      <c r="H76" s="198"/>
      <c r="I76" s="306">
        <f>'CEF Julho 2019'!I88:J88</f>
        <v>226033.1999999999</v>
      </c>
      <c r="J76" s="307"/>
    </row>
    <row r="77" spans="1:11">
      <c r="A77" s="27" t="s">
        <v>270</v>
      </c>
      <c r="B77" s="63"/>
      <c r="C77" s="63"/>
      <c r="D77" s="80"/>
      <c r="E77" s="29">
        <f t="shared" si="1"/>
        <v>89858.13</v>
      </c>
      <c r="F77" s="3"/>
      <c r="G77" s="27" t="s">
        <v>149</v>
      </c>
      <c r="H77" s="198"/>
      <c r="I77" s="306">
        <f>SUMIF($G$8:$G$57,G77,$D$8:$D$57)</f>
        <v>200000</v>
      </c>
      <c r="J77" s="307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16" t="s">
        <v>145</v>
      </c>
      <c r="H78" s="317"/>
      <c r="I78" s="306">
        <f>-SUMIF($G$8:$G$57,G78,$E$8:$E$57)</f>
        <v>-169003.49</v>
      </c>
      <c r="J78" s="307"/>
    </row>
    <row r="79" spans="1:11">
      <c r="A79" s="27" t="s">
        <v>29</v>
      </c>
      <c r="B79" s="63"/>
      <c r="C79" s="63"/>
      <c r="D79" s="80"/>
      <c r="E79" s="29">
        <f t="shared" si="1"/>
        <v>11318.56</v>
      </c>
      <c r="F79" s="3"/>
      <c r="G79" s="197" t="s">
        <v>30</v>
      </c>
      <c r="H79" s="198"/>
      <c r="I79" s="306">
        <v>1431.79</v>
      </c>
      <c r="J79" s="307"/>
    </row>
    <row r="80" spans="1:11">
      <c r="A80" s="27" t="s">
        <v>282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314"/>
      <c r="J80" s="315"/>
    </row>
    <row r="81" spans="1:13">
      <c r="A81" s="27" t="s">
        <v>273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310">
        <f>SUM(I76:J79)</f>
        <v>258461.49999999991</v>
      </c>
      <c r="J81" s="311"/>
    </row>
    <row r="82" spans="1:13">
      <c r="A82" s="27" t="s">
        <v>218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96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12"/>
      <c r="J83" s="313"/>
      <c r="K83" s="24"/>
    </row>
    <row r="84" spans="1:13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304">
        <f>'CEF Março 2019'!I88:J88</f>
        <v>0</v>
      </c>
      <c r="J84" s="305"/>
      <c r="K84" s="24"/>
    </row>
    <row r="85" spans="1:13">
      <c r="A85" s="27" t="s">
        <v>150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98"/>
      <c r="I85" s="306">
        <f>SUMIF($G$8:$G$57,G85,$E$8:$E$57)</f>
        <v>0</v>
      </c>
      <c r="J85" s="307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97" t="s">
        <v>14</v>
      </c>
      <c r="H86" s="198"/>
      <c r="I86" s="306">
        <f>-SUMIF($G$8:$G$57,G86,$D$8:$D$57)</f>
        <v>0</v>
      </c>
      <c r="J86" s="307"/>
      <c r="K86" s="24"/>
    </row>
    <row r="87" spans="1:13">
      <c r="A87" s="27" t="s">
        <v>151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314"/>
      <c r="J87" s="315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02">
        <f>SUM(I84:J87)</f>
        <v>0</v>
      </c>
      <c r="J88" s="303"/>
      <c r="K88" s="24"/>
    </row>
    <row r="89" spans="1:13">
      <c r="A89" s="27" t="s">
        <v>176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96"/>
      <c r="K89" s="24"/>
    </row>
    <row r="90" spans="1:13">
      <c r="A90" s="27" t="s">
        <v>272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97" t="s">
        <v>19</v>
      </c>
      <c r="H91" s="198"/>
      <c r="I91" s="308">
        <f>'CEF Julho 2019'!I102:J102</f>
        <v>62677.369999999821</v>
      </c>
      <c r="J91" s="309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197" t="s">
        <v>42</v>
      </c>
      <c r="H92" s="198"/>
      <c r="I92" s="291">
        <f>249997.75+16000+16408.72+10986.48</f>
        <v>293392.94999999995</v>
      </c>
      <c r="J92" s="292"/>
      <c r="K92" s="24"/>
    </row>
    <row r="93" spans="1:13">
      <c r="A93" s="27" t="s">
        <v>324</v>
      </c>
      <c r="B93" s="63"/>
      <c r="C93" s="63"/>
      <c r="D93" s="80"/>
      <c r="E93" s="29">
        <f t="shared" si="1"/>
        <v>4708.18</v>
      </c>
      <c r="F93" s="3"/>
      <c r="G93" s="197" t="s">
        <v>147</v>
      </c>
      <c r="H93" s="198"/>
      <c r="I93" s="306">
        <f>-SUMIF($G$8:$G$57,G93,$E$8:$E$57)</f>
        <v>-293392.95</v>
      </c>
      <c r="J93" s="307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00"/>
      <c r="J94" s="301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10">
        <f>SUM(I91:J94)</f>
        <v>62677.369999999763</v>
      </c>
      <c r="J95" s="311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04">
        <f>'CEF Julho 2019'!I109:J109</f>
        <v>16657.060000000009</v>
      </c>
      <c r="J98" s="305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322</v>
      </c>
      <c r="H99" s="41"/>
      <c r="I99" s="306">
        <v>18134.580000000002</v>
      </c>
      <c r="J99" s="307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06"/>
      <c r="J100" s="307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00">
        <f>-SUMIF($G$8:$G$57,G101,$D$8:$D$57)</f>
        <v>-16657.060000000001</v>
      </c>
      <c r="J101" s="301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02">
        <f>SUM(I98:J101)</f>
        <v>18134.580000000013</v>
      </c>
      <c r="J102" s="30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9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323</v>
      </c>
      <c r="H105" s="198"/>
      <c r="I105" s="291">
        <v>32612.17</v>
      </c>
      <c r="J105" s="292"/>
      <c r="K105" s="24"/>
    </row>
    <row r="106" spans="1:11">
      <c r="A106" s="297" t="s">
        <v>22</v>
      </c>
      <c r="B106" s="298"/>
      <c r="C106" s="298"/>
      <c r="D106" s="81"/>
      <c r="E106" s="35">
        <f>SUM(E68:E104)</f>
        <v>462512.60999999993</v>
      </c>
      <c r="F106" s="3"/>
      <c r="G106" s="27"/>
      <c r="H106" s="198"/>
      <c r="I106" s="291"/>
      <c r="J106" s="292"/>
      <c r="K106" s="24"/>
    </row>
    <row r="107" spans="1:11">
      <c r="E107" s="46">
        <f>D58-E106</f>
        <v>0</v>
      </c>
      <c r="F107" s="3"/>
      <c r="G107" s="27"/>
      <c r="H107" s="41"/>
      <c r="I107" s="295"/>
      <c r="J107" s="296"/>
      <c r="K107" s="24"/>
    </row>
    <row r="108" spans="1:11">
      <c r="F108" s="3"/>
      <c r="G108" s="89" t="s">
        <v>18</v>
      </c>
      <c r="H108" s="88"/>
      <c r="I108" s="302">
        <f>SUM(I105:J107)</f>
        <v>32612.17</v>
      </c>
      <c r="J108" s="303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8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4"/>
  <sheetViews>
    <sheetView topLeftCell="A13" workbookViewId="0">
      <selection activeCell="I65" sqref="I65:J6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226149.37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1431.79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520974.11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158296.28</v>
      </c>
      <c r="C11" s="115">
        <f>13030+8295.67+89858.13+11318.56+3456.06+115.5+496.8+10228.23+499.02+4708.18</f>
        <v>142006.15</v>
      </c>
      <c r="D11" s="115"/>
      <c r="E11" s="166">
        <f t="shared" ref="E11:E27" si="0">C11+D11</f>
        <v>142006.15</v>
      </c>
      <c r="F11" s="134">
        <f>13038.58+100+456387.54+8147.56+989.92+4960.27+296.75</f>
        <v>483920.62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102261.3</f>
        <v>102261.3</v>
      </c>
      <c r="C17" s="115">
        <f>97229.13+1036.2+2272.85+3212.22</f>
        <v>103750.40000000001</v>
      </c>
      <c r="D17" s="115"/>
      <c r="E17" s="166">
        <f t="shared" si="0"/>
        <v>103750.40000000001</v>
      </c>
      <c r="F17" s="134">
        <f>2352+3254.07+2195.1+100261.3</f>
        <v>108062.47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18134.580000000002</v>
      </c>
      <c r="C26" s="151">
        <v>16657.060000000001</v>
      </c>
      <c r="D26" s="111"/>
      <c r="E26" s="166">
        <f t="shared" si="0"/>
        <v>16657.060000000001</v>
      </c>
      <c r="F26" s="115">
        <v>18134.580000000002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278791.16000000003</v>
      </c>
      <c r="C28" s="152">
        <f>SUM(C11:C27)</f>
        <v>262413.61</v>
      </c>
      <c r="D28" s="152">
        <f>SUM(D11:D27)</f>
        <v>99</v>
      </c>
      <c r="E28" s="152">
        <f>SUM(E11:E27)</f>
        <v>262512.61</v>
      </c>
      <c r="F28" s="152">
        <f>SUM(F11:F27)</f>
        <v>610117.66999999993</v>
      </c>
      <c r="H28" s="46">
        <f>2606649.86-1996532.19</f>
        <v>610117.66999999993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200000</v>
      </c>
    </row>
    <row r="33" spans="1:7">
      <c r="A33" s="27" t="s">
        <v>174</v>
      </c>
      <c r="B33" s="200"/>
      <c r="C33" s="200"/>
      <c r="D33" s="201"/>
      <c r="E33" s="182">
        <v>97229.12999999999</v>
      </c>
      <c r="F33" s="18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13030</v>
      </c>
      <c r="F36" s="18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2"/>
      <c r="C38" s="202"/>
      <c r="D38" s="203"/>
      <c r="E38" s="182">
        <v>8295.67</v>
      </c>
      <c r="F38" s="18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2"/>
      <c r="C40" s="202"/>
      <c r="D40" s="203"/>
      <c r="E40" s="182">
        <v>89858.13</v>
      </c>
      <c r="F40" s="189" t="s">
        <v>193</v>
      </c>
    </row>
    <row r="41" spans="1:7">
      <c r="A41" s="27" t="s">
        <v>219</v>
      </c>
      <c r="B41" s="202"/>
      <c r="C41" s="202"/>
      <c r="D41" s="203"/>
      <c r="E41" s="182">
        <v>0</v>
      </c>
    </row>
    <row r="42" spans="1:7">
      <c r="A42" s="27" t="s">
        <v>29</v>
      </c>
      <c r="B42" s="202"/>
      <c r="C42" s="202"/>
      <c r="D42" s="203"/>
      <c r="E42" s="182">
        <v>11318.56</v>
      </c>
      <c r="F42" s="189" t="s">
        <v>193</v>
      </c>
    </row>
    <row r="43" spans="1:7">
      <c r="A43" s="27" t="s">
        <v>282</v>
      </c>
      <c r="B43" s="202"/>
      <c r="C43" s="202"/>
      <c r="D43" s="203"/>
      <c r="E43" s="182">
        <v>3456.06</v>
      </c>
      <c r="F43" s="189" t="s">
        <v>193</v>
      </c>
    </row>
    <row r="44" spans="1:7">
      <c r="A44" s="27" t="s">
        <v>273</v>
      </c>
      <c r="B44" s="202"/>
      <c r="C44" s="202"/>
      <c r="D44" s="203"/>
      <c r="E44" s="182">
        <v>1036.2</v>
      </c>
      <c r="F44" s="189" t="s">
        <v>193</v>
      </c>
    </row>
    <row r="45" spans="1:7">
      <c r="A45" s="27" t="s">
        <v>218</v>
      </c>
      <c r="B45" s="200"/>
      <c r="C45" s="200"/>
      <c r="D45" s="201"/>
      <c r="E45" s="182">
        <v>2272.85</v>
      </c>
      <c r="F45" s="189" t="s">
        <v>193</v>
      </c>
      <c r="G45" s="46"/>
    </row>
    <row r="46" spans="1:7">
      <c r="A46" s="27" t="s">
        <v>231</v>
      </c>
      <c r="B46" s="202"/>
      <c r="C46" s="202"/>
      <c r="D46" s="203"/>
      <c r="E46" s="182">
        <v>0</v>
      </c>
    </row>
    <row r="47" spans="1:7">
      <c r="A47" s="27" t="s">
        <v>28</v>
      </c>
      <c r="B47" s="202"/>
      <c r="C47" s="202"/>
      <c r="D47" s="203"/>
      <c r="E47" s="182">
        <v>115.5</v>
      </c>
      <c r="F47" s="189" t="s">
        <v>193</v>
      </c>
    </row>
    <row r="48" spans="1:7">
      <c r="A48" s="27" t="s">
        <v>150</v>
      </c>
      <c r="B48" s="202"/>
      <c r="C48" s="202"/>
      <c r="D48" s="203"/>
      <c r="E48" s="182">
        <v>496.8</v>
      </c>
      <c r="F48" s="189" t="s">
        <v>193</v>
      </c>
    </row>
    <row r="49" spans="1:6">
      <c r="A49" s="27" t="s">
        <v>220</v>
      </c>
      <c r="B49" s="202"/>
      <c r="C49" s="202"/>
      <c r="D49" s="203"/>
      <c r="E49" s="182">
        <v>0</v>
      </c>
    </row>
    <row r="50" spans="1:6">
      <c r="A50" s="27" t="s">
        <v>151</v>
      </c>
      <c r="B50" s="202"/>
      <c r="C50" s="202"/>
      <c r="D50" s="203"/>
      <c r="E50" s="182">
        <v>10228.23</v>
      </c>
      <c r="F50" s="189" t="s">
        <v>193</v>
      </c>
    </row>
    <row r="51" spans="1:6">
      <c r="A51" s="27" t="s">
        <v>49</v>
      </c>
      <c r="B51" s="202"/>
      <c r="C51" s="202"/>
      <c r="D51" s="203"/>
      <c r="E51" s="182">
        <v>0</v>
      </c>
    </row>
    <row r="52" spans="1:6">
      <c r="A52" s="27" t="s">
        <v>176</v>
      </c>
      <c r="B52" s="202"/>
      <c r="C52" s="202"/>
      <c r="D52" s="203"/>
      <c r="E52" s="182">
        <v>16657.060000000001</v>
      </c>
      <c r="F52" s="189" t="s">
        <v>193</v>
      </c>
    </row>
    <row r="53" spans="1:6">
      <c r="A53" s="27" t="s">
        <v>272</v>
      </c>
      <c r="B53" s="202"/>
      <c r="C53" s="202"/>
      <c r="D53" s="203"/>
      <c r="E53" s="182">
        <v>499.02000000000004</v>
      </c>
      <c r="F53" s="189" t="s">
        <v>193</v>
      </c>
    </row>
    <row r="54" spans="1:6">
      <c r="A54" s="27" t="s">
        <v>43</v>
      </c>
      <c r="B54" s="202"/>
      <c r="C54" s="202"/>
      <c r="D54" s="203"/>
      <c r="E54" s="182">
        <v>3212.2200000000003</v>
      </c>
      <c r="F54" s="189" t="s">
        <v>193</v>
      </c>
    </row>
    <row r="55" spans="1:6">
      <c r="A55" s="27" t="s">
        <v>274</v>
      </c>
      <c r="B55" s="202"/>
      <c r="C55" s="202"/>
      <c r="D55" s="203"/>
      <c r="E55" s="182">
        <v>0</v>
      </c>
    </row>
    <row r="56" spans="1:6">
      <c r="A56" s="27" t="s">
        <v>324</v>
      </c>
      <c r="B56" s="202"/>
      <c r="C56" s="202"/>
      <c r="D56" s="203"/>
      <c r="E56" s="182">
        <v>4708.18</v>
      </c>
      <c r="F56" s="189" t="s">
        <v>193</v>
      </c>
    </row>
    <row r="57" spans="1:6">
      <c r="A57" s="27" t="s">
        <v>146</v>
      </c>
      <c r="B57" s="202"/>
      <c r="C57" s="202"/>
      <c r="D57" s="203"/>
      <c r="E57" s="182">
        <v>0</v>
      </c>
    </row>
    <row r="58" spans="1:6">
      <c r="A58" s="27" t="s">
        <v>34</v>
      </c>
      <c r="B58" s="202"/>
      <c r="C58" s="202"/>
      <c r="D58" s="203"/>
      <c r="E58" s="182">
        <v>0</v>
      </c>
    </row>
    <row r="59" spans="1:6">
      <c r="A59" s="27" t="s">
        <v>178</v>
      </c>
      <c r="B59" s="202"/>
      <c r="C59" s="202"/>
      <c r="D59" s="203"/>
      <c r="E59" s="182">
        <v>0</v>
      </c>
    </row>
    <row r="60" spans="1:6">
      <c r="A60" s="27" t="s">
        <v>72</v>
      </c>
      <c r="B60" s="202"/>
      <c r="C60" s="202"/>
      <c r="D60" s="203"/>
      <c r="E60" s="182">
        <v>99</v>
      </c>
      <c r="F60" s="189" t="s">
        <v>193</v>
      </c>
    </row>
    <row r="61" spans="1:6">
      <c r="A61" s="27" t="s">
        <v>307</v>
      </c>
      <c r="B61" s="202"/>
      <c r="C61" s="202"/>
      <c r="D61" s="203"/>
      <c r="E61" s="182">
        <v>0</v>
      </c>
    </row>
    <row r="62" spans="1:6">
      <c r="A62" s="27" t="s">
        <v>120</v>
      </c>
      <c r="B62" s="202"/>
      <c r="C62" s="202"/>
      <c r="D62" s="203"/>
      <c r="E62" s="183">
        <v>0</v>
      </c>
      <c r="F62" s="46"/>
    </row>
    <row r="63" spans="1:6">
      <c r="A63" s="335"/>
      <c r="B63" s="336"/>
      <c r="C63" s="336"/>
      <c r="D63" s="336"/>
      <c r="E63" s="294"/>
      <c r="F63" s="46"/>
    </row>
    <row r="64" spans="1:6">
      <c r="A64" s="329" t="s">
        <v>22</v>
      </c>
      <c r="B64" s="330"/>
      <c r="C64" s="330"/>
      <c r="D64" s="331"/>
      <c r="E64" s="183">
        <f>SUM(E31:E62)</f>
        <v>262512.61</v>
      </c>
    </row>
    <row r="66" spans="1:5" ht="15.75" thickBot="1">
      <c r="E66" s="46">
        <f>E64-E7</f>
        <v>262512.61</v>
      </c>
    </row>
    <row r="67" spans="1:5" ht="23.25" thickBot="1">
      <c r="A67" s="154" t="s">
        <v>258</v>
      </c>
      <c r="B67" s="95">
        <f>B7</f>
        <v>520974.11</v>
      </c>
    </row>
    <row r="68" spans="1:5" ht="23.25" thickBot="1">
      <c r="A68" s="155" t="s">
        <v>259</v>
      </c>
      <c r="B68" s="98">
        <f>E64</f>
        <v>262512.61</v>
      </c>
    </row>
    <row r="69" spans="1:5" ht="23.25" thickBot="1">
      <c r="A69" s="155" t="s">
        <v>260</v>
      </c>
      <c r="B69" s="98">
        <f>B67-B68</f>
        <v>258461.5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258461.5</v>
      </c>
      <c r="E71" s="46"/>
    </row>
    <row r="74" spans="1:5">
      <c r="E74" s="46"/>
    </row>
  </sheetData>
  <mergeCells count="5">
    <mergeCell ref="A9:A10"/>
    <mergeCell ref="B9:B10"/>
    <mergeCell ref="F9:F10"/>
    <mergeCell ref="A63:E63"/>
    <mergeCell ref="A64:D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I65" sqref="I65:J65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175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43713</v>
      </c>
      <c r="B13" s="4">
        <v>82019</v>
      </c>
      <c r="C13" s="4" t="s">
        <v>188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147</v>
      </c>
      <c r="H14" s="7"/>
      <c r="I14" s="4"/>
      <c r="J14" s="19"/>
      <c r="K14" s="16"/>
    </row>
    <row r="15" spans="1:11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272</v>
      </c>
      <c r="H15" s="7" t="s">
        <v>275</v>
      </c>
      <c r="I15" s="4">
        <v>9</v>
      </c>
      <c r="J15" s="19">
        <v>1</v>
      </c>
      <c r="K15" s="16"/>
    </row>
    <row r="16" spans="1:11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331</v>
      </c>
      <c r="H16" s="7" t="s">
        <v>332</v>
      </c>
      <c r="I16" s="4">
        <v>19886</v>
      </c>
      <c r="J16" s="19">
        <v>1</v>
      </c>
      <c r="K16" s="16">
        <v>43686</v>
      </c>
    </row>
    <row r="17" spans="1:11">
      <c r="A17" s="15">
        <v>43714</v>
      </c>
      <c r="B17" s="4">
        <v>309379</v>
      </c>
      <c r="C17" s="4" t="s">
        <v>172</v>
      </c>
      <c r="D17" s="77">
        <v>95258.46</v>
      </c>
      <c r="E17" s="5"/>
      <c r="F17" s="6">
        <f t="shared" si="0"/>
        <v>197442.37</v>
      </c>
      <c r="G17" s="9" t="s">
        <v>270</v>
      </c>
      <c r="H17" s="7"/>
      <c r="I17" s="4"/>
      <c r="J17" s="19"/>
      <c r="K17" s="16"/>
    </row>
    <row r="18" spans="1:11">
      <c r="A18" s="15">
        <v>43718</v>
      </c>
      <c r="B18" s="4">
        <v>780750</v>
      </c>
      <c r="C18" s="4" t="s">
        <v>216</v>
      </c>
      <c r="D18" s="77">
        <v>2195.1</v>
      </c>
      <c r="E18" s="5"/>
      <c r="F18" s="6">
        <f t="shared" si="0"/>
        <v>195247.27</v>
      </c>
      <c r="G18" s="9" t="s">
        <v>218</v>
      </c>
      <c r="H18" s="7" t="s">
        <v>222</v>
      </c>
      <c r="I18" s="4">
        <v>889269179</v>
      </c>
      <c r="J18" s="19">
        <v>1</v>
      </c>
      <c r="K18" s="16"/>
    </row>
    <row r="19" spans="1:11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145</v>
      </c>
      <c r="H19" s="7"/>
      <c r="I19" s="4"/>
      <c r="J19" s="19"/>
      <c r="K19" s="16"/>
    </row>
    <row r="20" spans="1:11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271</v>
      </c>
      <c r="H21" s="7" t="s">
        <v>118</v>
      </c>
      <c r="I21" s="4"/>
      <c r="J21" s="19"/>
      <c r="K21" s="16"/>
    </row>
    <row r="22" spans="1:11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271</v>
      </c>
      <c r="H22" s="7" t="s">
        <v>158</v>
      </c>
      <c r="I22" s="4"/>
      <c r="J22" s="19"/>
      <c r="K22" s="16"/>
    </row>
    <row r="23" spans="1:11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174</v>
      </c>
      <c r="H24" s="7" t="s">
        <v>128</v>
      </c>
      <c r="I24" s="4">
        <v>44</v>
      </c>
      <c r="J24" s="19">
        <v>12</v>
      </c>
      <c r="K24" s="16">
        <v>43718</v>
      </c>
    </row>
    <row r="25" spans="1:11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174</v>
      </c>
      <c r="H25" s="7" t="s">
        <v>318</v>
      </c>
      <c r="I25" s="4">
        <v>21</v>
      </c>
      <c r="J25" s="19">
        <v>3</v>
      </c>
      <c r="K25" s="16">
        <v>43717</v>
      </c>
    </row>
    <row r="26" spans="1:11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174</v>
      </c>
      <c r="H26" s="7" t="s">
        <v>183</v>
      </c>
      <c r="I26" s="4">
        <v>36</v>
      </c>
      <c r="J26" s="19">
        <v>3</v>
      </c>
      <c r="K26" s="16">
        <v>43718</v>
      </c>
    </row>
    <row r="27" spans="1:11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145</v>
      </c>
      <c r="H27" s="7"/>
      <c r="I27" s="4"/>
      <c r="J27" s="19"/>
      <c r="K27" s="16"/>
    </row>
    <row r="28" spans="1:11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174</v>
      </c>
      <c r="H28" s="7" t="s">
        <v>127</v>
      </c>
      <c r="I28" s="4">
        <v>74</v>
      </c>
      <c r="J28" s="19">
        <v>5</v>
      </c>
      <c r="K28" s="16">
        <v>43719</v>
      </c>
    </row>
    <row r="29" spans="1:11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174</v>
      </c>
      <c r="H29" s="7" t="s">
        <v>276</v>
      </c>
      <c r="I29" s="4">
        <v>7</v>
      </c>
      <c r="J29" s="19">
        <v>7</v>
      </c>
      <c r="K29" s="16">
        <v>43718</v>
      </c>
    </row>
    <row r="30" spans="1:11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174</v>
      </c>
      <c r="H30" s="7" t="s">
        <v>224</v>
      </c>
      <c r="I30" s="4">
        <v>26</v>
      </c>
      <c r="J30" s="19">
        <v>1</v>
      </c>
      <c r="K30" s="16">
        <v>43717</v>
      </c>
    </row>
    <row r="31" spans="1:11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174</v>
      </c>
      <c r="H31" s="7" t="s">
        <v>189</v>
      </c>
      <c r="I31" s="4">
        <v>13</v>
      </c>
      <c r="J31" s="19">
        <v>13</v>
      </c>
      <c r="K31" s="16">
        <v>43717</v>
      </c>
    </row>
    <row r="32" spans="1:11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174</v>
      </c>
      <c r="H32" s="7" t="s">
        <v>302</v>
      </c>
      <c r="I32" s="4">
        <v>80</v>
      </c>
      <c r="J32" s="19">
        <v>5</v>
      </c>
      <c r="K32" s="16">
        <v>43717</v>
      </c>
    </row>
    <row r="33" spans="1:11">
      <c r="A33" s="15">
        <v>43724</v>
      </c>
      <c r="B33" s="4">
        <v>161720</v>
      </c>
      <c r="C33" s="4" t="s">
        <v>173</v>
      </c>
      <c r="D33" s="77">
        <v>2352</v>
      </c>
      <c r="E33" s="5"/>
      <c r="F33" s="6">
        <f t="shared" si="0"/>
        <v>-2352.0000000000027</v>
      </c>
      <c r="G33" s="9" t="s">
        <v>178</v>
      </c>
      <c r="H33" s="7" t="s">
        <v>223</v>
      </c>
      <c r="I33" s="4">
        <v>495</v>
      </c>
      <c r="J33" s="19">
        <v>4</v>
      </c>
      <c r="K33" s="16">
        <v>43711</v>
      </c>
    </row>
    <row r="34" spans="1:11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145</v>
      </c>
      <c r="H35" s="7"/>
      <c r="I35" s="4"/>
      <c r="J35" s="19"/>
      <c r="K35" s="16"/>
    </row>
    <row r="36" spans="1:11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174</v>
      </c>
      <c r="H36" s="7" t="s">
        <v>333</v>
      </c>
      <c r="I36" s="4">
        <v>38</v>
      </c>
      <c r="J36" s="19">
        <v>1</v>
      </c>
      <c r="K36" s="16">
        <v>43717</v>
      </c>
    </row>
    <row r="37" spans="1:11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145</v>
      </c>
      <c r="H37" s="7"/>
      <c r="I37" s="4"/>
      <c r="J37" s="19"/>
      <c r="K37" s="16"/>
    </row>
    <row r="38" spans="1:11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282</v>
      </c>
      <c r="H38" s="7" t="s">
        <v>256</v>
      </c>
      <c r="I38" s="4">
        <v>80</v>
      </c>
      <c r="J38" s="19">
        <v>1</v>
      </c>
      <c r="K38" s="16"/>
    </row>
    <row r="39" spans="1:11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282</v>
      </c>
      <c r="H39" s="7" t="s">
        <v>256</v>
      </c>
      <c r="I39" s="4">
        <v>79</v>
      </c>
      <c r="J39" s="19">
        <v>1</v>
      </c>
      <c r="K39" s="16"/>
    </row>
    <row r="40" spans="1:11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282</v>
      </c>
      <c r="H40" s="7" t="s">
        <v>256</v>
      </c>
      <c r="I40" s="4">
        <v>77</v>
      </c>
      <c r="J40" s="19">
        <v>1</v>
      </c>
      <c r="K40" s="16"/>
    </row>
    <row r="41" spans="1:11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273</v>
      </c>
      <c r="H43" s="7" t="s">
        <v>257</v>
      </c>
      <c r="I43" s="4">
        <v>128</v>
      </c>
      <c r="J43" s="19">
        <v>1</v>
      </c>
      <c r="K43" s="16"/>
    </row>
    <row r="44" spans="1:11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150</v>
      </c>
      <c r="H44" s="7" t="s">
        <v>161</v>
      </c>
      <c r="I44" s="4">
        <v>1458753</v>
      </c>
      <c r="J44" s="19">
        <v>1</v>
      </c>
      <c r="K44" s="16"/>
    </row>
    <row r="45" spans="1:11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174</v>
      </c>
      <c r="H45" s="7" t="s">
        <v>310</v>
      </c>
      <c r="I45" s="4">
        <v>44</v>
      </c>
      <c r="J45" s="19">
        <v>4</v>
      </c>
      <c r="K45" s="16">
        <v>43714</v>
      </c>
    </row>
    <row r="46" spans="1:11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145</v>
      </c>
      <c r="H46" s="7"/>
      <c r="I46" s="4"/>
      <c r="J46" s="19"/>
      <c r="K46" s="16"/>
    </row>
    <row r="47" spans="1:11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145</v>
      </c>
      <c r="H47" s="7"/>
      <c r="I47" s="4"/>
      <c r="J47" s="19"/>
      <c r="K47" s="16"/>
    </row>
    <row r="48" spans="1:11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176</v>
      </c>
      <c r="H48" s="7"/>
      <c r="I48" s="4"/>
      <c r="J48" s="19"/>
      <c r="K48" s="16"/>
    </row>
    <row r="49" spans="1:11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151</v>
      </c>
      <c r="H49" s="7"/>
      <c r="I49" s="4"/>
      <c r="J49" s="19"/>
      <c r="K49" s="16"/>
    </row>
    <row r="50" spans="1:11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24" t="s">
        <v>12</v>
      </c>
      <c r="B52" s="325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299" t="s">
        <v>123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1" ht="18" customHeight="1"/>
    <row r="59" spans="1:11" ht="18" customHeight="1">
      <c r="A59" s="318" t="s">
        <v>330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19" t="s">
        <v>21</v>
      </c>
      <c r="B61" s="320"/>
      <c r="C61" s="320"/>
      <c r="D61" s="320"/>
      <c r="E61" s="321"/>
      <c r="F61" s="3"/>
      <c r="G61" s="322" t="s">
        <v>20</v>
      </c>
      <c r="H61" s="322"/>
      <c r="I61" s="322"/>
      <c r="J61" s="322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06">
        <f>SUMIF($G$8:$G$51,G62,$E$8:$E$51)</f>
        <v>293392.95</v>
      </c>
      <c r="J62" s="307"/>
      <c r="K62" s="24"/>
    </row>
    <row r="63" spans="1:11">
      <c r="A63" s="27" t="s">
        <v>149</v>
      </c>
      <c r="B63" s="63"/>
      <c r="C63" s="63"/>
      <c r="D63" s="80"/>
      <c r="E63" s="29">
        <f t="shared" si="1"/>
        <v>197442</v>
      </c>
      <c r="F63" s="3"/>
      <c r="G63" s="316" t="s">
        <v>145</v>
      </c>
      <c r="H63" s="317"/>
      <c r="I63" s="306">
        <f>SUMIF($G$8:$G$51,G63,$E$8:$E$51)</f>
        <v>152221.78000000003</v>
      </c>
      <c r="J63" s="307"/>
      <c r="K63" s="24"/>
    </row>
    <row r="64" spans="1:11">
      <c r="A64" s="27" t="s">
        <v>174</v>
      </c>
      <c r="B64" s="63"/>
      <c r="C64" s="63"/>
      <c r="D64" s="80"/>
      <c r="E64" s="29">
        <f t="shared" si="1"/>
        <v>79668.800000000003</v>
      </c>
      <c r="F64" s="3"/>
      <c r="G64" s="316" t="s">
        <v>232</v>
      </c>
      <c r="H64" s="317"/>
      <c r="I64" s="306">
        <f>SUMIF($G$8:$G$51,G64,$E$8:$E$51)</f>
        <v>0</v>
      </c>
      <c r="J64" s="307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16" t="s">
        <v>234</v>
      </c>
      <c r="H65" s="317"/>
      <c r="I65" s="306">
        <f>SUMIF($G$8:$G$51,G65,$E$8:$E$51)</f>
        <v>0</v>
      </c>
      <c r="J65" s="307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06">
        <f>SUMIF($G$8:$G$51,G66,$E$8:$E$51)</f>
        <v>0</v>
      </c>
      <c r="J66" s="307"/>
      <c r="K66" s="24"/>
    </row>
    <row r="67" spans="1:11">
      <c r="A67" s="27" t="s">
        <v>175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302">
        <f>SUM(I62:J66)</f>
        <v>445614.73000000004</v>
      </c>
      <c r="J67" s="303"/>
      <c r="K67" s="61">
        <f>E52-I67</f>
        <v>0</v>
      </c>
    </row>
    <row r="68" spans="1:11">
      <c r="A68" s="62" t="s">
        <v>221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271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>
      <c r="A70" s="27" t="s">
        <v>25</v>
      </c>
      <c r="B70" s="63"/>
      <c r="C70" s="63"/>
      <c r="D70" s="80"/>
      <c r="E70" s="29">
        <f t="shared" si="1"/>
        <v>0</v>
      </c>
      <c r="F70" s="3"/>
      <c r="G70" s="205" t="s">
        <v>19</v>
      </c>
      <c r="H70" s="206"/>
      <c r="I70" s="306">
        <f>'CEF Agosto 2019'!I81:J81</f>
        <v>258461.49999999991</v>
      </c>
      <c r="J70" s="307"/>
    </row>
    <row r="71" spans="1:11">
      <c r="A71" s="27" t="s">
        <v>270</v>
      </c>
      <c r="B71" s="63"/>
      <c r="C71" s="63"/>
      <c r="D71" s="80"/>
      <c r="E71" s="29">
        <f t="shared" si="1"/>
        <v>95258.46</v>
      </c>
      <c r="F71" s="3"/>
      <c r="G71" s="27" t="s">
        <v>149</v>
      </c>
      <c r="H71" s="206"/>
      <c r="I71" s="306">
        <f>SUMIF($G$8:$G$51,G71,$D$8:$D$51)</f>
        <v>197442</v>
      </c>
      <c r="J71" s="307"/>
    </row>
    <row r="72" spans="1:11">
      <c r="A72" s="27" t="s">
        <v>219</v>
      </c>
      <c r="B72" s="63"/>
      <c r="C72" s="63"/>
      <c r="D72" s="80"/>
      <c r="E72" s="29">
        <f t="shared" si="1"/>
        <v>0</v>
      </c>
      <c r="F72" s="3"/>
      <c r="G72" s="316" t="s">
        <v>145</v>
      </c>
      <c r="H72" s="317"/>
      <c r="I72" s="306">
        <f>-SUMIF($G$8:$G$51,G72,$E$8:$E$51)</f>
        <v>-152221.78000000003</v>
      </c>
      <c r="J72" s="307"/>
    </row>
    <row r="73" spans="1:11">
      <c r="A73" s="27" t="s">
        <v>29</v>
      </c>
      <c r="B73" s="63"/>
      <c r="C73" s="63"/>
      <c r="D73" s="80"/>
      <c r="E73" s="29">
        <f t="shared" si="1"/>
        <v>11251.6</v>
      </c>
      <c r="F73" s="3"/>
      <c r="G73" s="205" t="s">
        <v>30</v>
      </c>
      <c r="H73" s="206"/>
      <c r="I73" s="306">
        <v>1409.3</v>
      </c>
      <c r="J73" s="307"/>
    </row>
    <row r="74" spans="1:11">
      <c r="A74" s="27" t="s">
        <v>282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314"/>
      <c r="J74" s="315"/>
    </row>
    <row r="75" spans="1:11">
      <c r="A75" s="27" t="s">
        <v>273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310">
        <f>SUM(I70:J73)</f>
        <v>305091.01999999984</v>
      </c>
      <c r="J75" s="311"/>
    </row>
    <row r="76" spans="1:11">
      <c r="A76" s="27" t="s">
        <v>218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204"/>
      <c r="K76" s="24"/>
    </row>
    <row r="77" spans="1:11">
      <c r="A77" s="27" t="s">
        <v>231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12"/>
      <c r="J77" s="313"/>
      <c r="K77" s="24"/>
    </row>
    <row r="78" spans="1:11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304">
        <f>'CEF Março 2019'!I88:J88</f>
        <v>0</v>
      </c>
      <c r="J78" s="305"/>
      <c r="K78" s="24"/>
    </row>
    <row r="79" spans="1:11">
      <c r="A79" s="27" t="s">
        <v>150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206"/>
      <c r="I79" s="306">
        <f>SUMIF($G$8:$G$51,G79,$E$8:$E$51)</f>
        <v>0</v>
      </c>
      <c r="J79" s="307"/>
      <c r="K79" s="24"/>
    </row>
    <row r="80" spans="1:11">
      <c r="A80" s="27" t="s">
        <v>220</v>
      </c>
      <c r="B80" s="63"/>
      <c r="C80" s="63"/>
      <c r="D80" s="80"/>
      <c r="E80" s="29">
        <f t="shared" si="1"/>
        <v>0</v>
      </c>
      <c r="F80" s="3"/>
      <c r="G80" s="205" t="s">
        <v>14</v>
      </c>
      <c r="H80" s="206"/>
      <c r="I80" s="306">
        <f>-SUMIF($G$8:$G$51,G80,$D$8:$D$51)</f>
        <v>0</v>
      </c>
      <c r="J80" s="307"/>
      <c r="K80" s="24"/>
    </row>
    <row r="81" spans="1:13">
      <c r="A81" s="27" t="s">
        <v>151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314"/>
      <c r="J81" s="315"/>
      <c r="K81" s="24"/>
    </row>
    <row r="82" spans="1:13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02">
        <f>SUM(I78:J81)</f>
        <v>0</v>
      </c>
      <c r="J82" s="303"/>
      <c r="K82" s="24"/>
    </row>
    <row r="83" spans="1:13">
      <c r="A83" s="27" t="s">
        <v>176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204"/>
      <c r="K83" s="24"/>
    </row>
    <row r="84" spans="1:13">
      <c r="A84" s="27" t="s">
        <v>272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43</v>
      </c>
      <c r="B85" s="63"/>
      <c r="C85" s="63"/>
      <c r="D85" s="80"/>
      <c r="E85" s="29">
        <f t="shared" si="1"/>
        <v>3254.07</v>
      </c>
      <c r="F85" s="3"/>
      <c r="G85" s="205" t="s">
        <v>19</v>
      </c>
      <c r="H85" s="206"/>
      <c r="I85" s="308">
        <f>'CEF Agosto 2019'!I95:J95</f>
        <v>62677.369999999763</v>
      </c>
      <c r="J85" s="309"/>
      <c r="K85" s="24"/>
    </row>
    <row r="86" spans="1:13">
      <c r="A86" s="27" t="s">
        <v>274</v>
      </c>
      <c r="B86" s="63"/>
      <c r="C86" s="63"/>
      <c r="D86" s="80"/>
      <c r="E86" s="29">
        <f t="shared" si="1"/>
        <v>0</v>
      </c>
      <c r="F86" s="3"/>
      <c r="G86" s="205" t="s">
        <v>42</v>
      </c>
      <c r="H86" s="206"/>
      <c r="I86" s="291">
        <f>249997.75+16000+16408.72+10986.48</f>
        <v>293392.94999999995</v>
      </c>
      <c r="J86" s="292"/>
      <c r="K86" s="24"/>
    </row>
    <row r="87" spans="1:13">
      <c r="A87" s="27" t="s">
        <v>324</v>
      </c>
      <c r="B87" s="63"/>
      <c r="C87" s="63"/>
      <c r="D87" s="80"/>
      <c r="E87" s="29">
        <f t="shared" si="1"/>
        <v>0</v>
      </c>
      <c r="F87" s="3"/>
      <c r="G87" s="205" t="s">
        <v>147</v>
      </c>
      <c r="H87" s="206"/>
      <c r="I87" s="306">
        <f>-SUMIF($G$8:$G$51,G87,$E$8:$E$51)</f>
        <v>-293392.95</v>
      </c>
      <c r="J87" s="307"/>
      <c r="K87" s="24"/>
    </row>
    <row r="88" spans="1:13">
      <c r="A88" s="27" t="s">
        <v>146</v>
      </c>
      <c r="B88" s="63"/>
      <c r="C88" s="63"/>
      <c r="D88" s="80"/>
      <c r="E88" s="29">
        <f t="shared" si="1"/>
        <v>0</v>
      </c>
      <c r="F88" s="3"/>
      <c r="G88" s="30"/>
      <c r="H88" s="31"/>
      <c r="I88" s="300"/>
      <c r="J88" s="301"/>
      <c r="K88" s="24"/>
    </row>
    <row r="89" spans="1:13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10">
        <f>SUM(I85:J88)</f>
        <v>62677.369999999704</v>
      </c>
      <c r="J89" s="311"/>
      <c r="K89" s="24"/>
      <c r="M89" s="39"/>
    </row>
    <row r="90" spans="1:13">
      <c r="A90" s="27" t="s">
        <v>178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>
      <c r="A92" s="27" t="s">
        <v>307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04">
        <f>'CEF Agosto 2019'!I102:J102</f>
        <v>18134.580000000013</v>
      </c>
      <c r="J92" s="305"/>
      <c r="K92" s="24"/>
    </row>
    <row r="93" spans="1:13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334</v>
      </c>
      <c r="H93" s="41"/>
      <c r="I93" s="306">
        <v>17976.080000000002</v>
      </c>
      <c r="J93" s="307"/>
      <c r="K93" s="24"/>
    </row>
    <row r="94" spans="1:13">
      <c r="A94" s="27" t="s">
        <v>331</v>
      </c>
      <c r="B94" s="63"/>
      <c r="C94" s="63"/>
      <c r="D94" s="80"/>
      <c r="E94" s="29">
        <f t="shared" si="1"/>
        <v>100</v>
      </c>
      <c r="F94" s="3"/>
      <c r="G94" s="27"/>
      <c r="H94" s="56"/>
      <c r="I94" s="306"/>
      <c r="J94" s="307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00">
        <f>-SUMIF($G$8:$G$51,G95,$D$8:$D$51)</f>
        <v>-18134.580000000002</v>
      </c>
      <c r="J95" s="301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02">
        <f>SUM(I92:J95)</f>
        <v>17976.080000000016</v>
      </c>
      <c r="J96" s="303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20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335</v>
      </c>
      <c r="H99" s="206"/>
      <c r="I99" s="291">
        <v>32132.27</v>
      </c>
      <c r="J99" s="292"/>
      <c r="K99" s="24"/>
    </row>
    <row r="100" spans="1:11">
      <c r="A100" s="297" t="s">
        <v>22</v>
      </c>
      <c r="B100" s="298"/>
      <c r="C100" s="298"/>
      <c r="D100" s="81"/>
      <c r="E100" s="35">
        <f>SUM(E62:E98)</f>
        <v>445614.73</v>
      </c>
      <c r="F100" s="3"/>
      <c r="G100" s="27"/>
      <c r="H100" s="206"/>
      <c r="I100" s="291"/>
      <c r="J100" s="292"/>
      <c r="K100" s="24"/>
    </row>
    <row r="101" spans="1:11">
      <c r="E101" s="46">
        <f>D52-E100</f>
        <v>0</v>
      </c>
      <c r="F101" s="3"/>
      <c r="G101" s="27"/>
      <c r="H101" s="41"/>
      <c r="I101" s="295"/>
      <c r="J101" s="296"/>
      <c r="K101" s="24"/>
    </row>
    <row r="102" spans="1:11">
      <c r="F102" s="3"/>
      <c r="G102" s="89" t="s">
        <v>18</v>
      </c>
      <c r="H102" s="88"/>
      <c r="I102" s="302">
        <f>SUM(I99:J101)</f>
        <v>32132.27</v>
      </c>
      <c r="J102" s="303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8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258461.5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1409.3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553263.75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f>156842.12</f>
        <v>156842.12</v>
      </c>
      <c r="C11" s="115">
        <f>13038.58+4960.27+95258.46+11251.6+3861.79+496.8+11985.86+493.12+100</f>
        <v>141446.47999999998</v>
      </c>
      <c r="D11" s="115"/>
      <c r="E11" s="166">
        <f t="shared" ref="E11:E27" si="0">C11+D11</f>
        <v>141446.47999999998</v>
      </c>
      <c r="F11" s="134">
        <f>12750+58.7+95343.08+17444.05+359304.41+962.32+6888.83+530.58</f>
        <v>493281.97000000003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102360</f>
        <v>102360</v>
      </c>
      <c r="C17" s="115">
        <f>79668.8+1022.7+2195.1+3254.07+2352</f>
        <v>88492.670000000013</v>
      </c>
      <c r="D17" s="115"/>
      <c r="E17" s="166">
        <f t="shared" si="0"/>
        <v>88492.670000000013</v>
      </c>
      <c r="F17" s="134">
        <f>10030.64+117300</f>
        <v>127330.64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17976.080000000002</v>
      </c>
      <c r="C26" s="151">
        <v>18134.580000000002</v>
      </c>
      <c r="D26" s="111"/>
      <c r="E26" s="166">
        <f t="shared" si="0"/>
        <v>18134.580000000002</v>
      </c>
      <c r="F26" s="115">
        <v>17976.080000000002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277277.2</v>
      </c>
      <c r="C28" s="152">
        <f>SUM(C11:C27)</f>
        <v>248073.72999999998</v>
      </c>
      <c r="D28" s="152">
        <f>SUM(D11:D27)</f>
        <v>99</v>
      </c>
      <c r="E28" s="152">
        <f>SUM(E11:E27)</f>
        <v>248172.72999999998</v>
      </c>
      <c r="F28" s="152">
        <f>SUM(F11:F27)</f>
        <v>638588.68999999994</v>
      </c>
      <c r="H28" s="46">
        <f>2341727.93-1703139.24</f>
        <v>638588.69000000018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197442</v>
      </c>
    </row>
    <row r="33" spans="1:7">
      <c r="A33" s="27" t="s">
        <v>174</v>
      </c>
      <c r="B33" s="200"/>
      <c r="C33" s="200"/>
      <c r="D33" s="201"/>
      <c r="E33" s="182">
        <v>79668.800000000003</v>
      </c>
      <c r="F33" s="20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13038.58</v>
      </c>
      <c r="F36" s="20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7"/>
      <c r="C38" s="207"/>
      <c r="D38" s="208"/>
      <c r="E38" s="182">
        <v>4960.2700000000004</v>
      </c>
      <c r="F38" s="20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7"/>
      <c r="C40" s="207"/>
      <c r="D40" s="208"/>
      <c r="E40" s="182">
        <v>95258.46</v>
      </c>
      <c r="F40" s="209" t="s">
        <v>193</v>
      </c>
    </row>
    <row r="41" spans="1:7">
      <c r="A41" s="27" t="s">
        <v>219</v>
      </c>
      <c r="B41" s="207"/>
      <c r="C41" s="207"/>
      <c r="D41" s="208"/>
      <c r="E41" s="182">
        <v>0</v>
      </c>
    </row>
    <row r="42" spans="1:7">
      <c r="A42" s="27" t="s">
        <v>29</v>
      </c>
      <c r="B42" s="207"/>
      <c r="C42" s="207"/>
      <c r="D42" s="208"/>
      <c r="E42" s="182">
        <v>11251.6</v>
      </c>
      <c r="F42" s="209" t="s">
        <v>193</v>
      </c>
    </row>
    <row r="43" spans="1:7">
      <c r="A43" s="27" t="s">
        <v>282</v>
      </c>
      <c r="B43" s="207"/>
      <c r="C43" s="207"/>
      <c r="D43" s="208"/>
      <c r="E43" s="182">
        <v>3861.79</v>
      </c>
      <c r="F43" s="209" t="s">
        <v>193</v>
      </c>
    </row>
    <row r="44" spans="1:7">
      <c r="A44" s="27" t="s">
        <v>273</v>
      </c>
      <c r="B44" s="207"/>
      <c r="C44" s="207"/>
      <c r="D44" s="208"/>
      <c r="E44" s="182">
        <v>1022.7</v>
      </c>
      <c r="F44" s="209" t="s">
        <v>193</v>
      </c>
    </row>
    <row r="45" spans="1:7">
      <c r="A45" s="27" t="s">
        <v>218</v>
      </c>
      <c r="B45" s="200"/>
      <c r="C45" s="200"/>
      <c r="D45" s="201"/>
      <c r="E45" s="182">
        <v>2195.1</v>
      </c>
      <c r="F45" s="209" t="s">
        <v>193</v>
      </c>
      <c r="G45" s="46"/>
    </row>
    <row r="46" spans="1:7">
      <c r="A46" s="27" t="s">
        <v>231</v>
      </c>
      <c r="B46" s="207"/>
      <c r="C46" s="207"/>
      <c r="D46" s="208"/>
      <c r="E46" s="182">
        <v>0</v>
      </c>
    </row>
    <row r="47" spans="1:7">
      <c r="A47" s="27" t="s">
        <v>28</v>
      </c>
      <c r="B47" s="207"/>
      <c r="C47" s="207"/>
      <c r="D47" s="208"/>
      <c r="E47" s="182">
        <v>0</v>
      </c>
    </row>
    <row r="48" spans="1:7">
      <c r="A48" s="27" t="s">
        <v>150</v>
      </c>
      <c r="B48" s="207"/>
      <c r="C48" s="207"/>
      <c r="D48" s="208"/>
      <c r="E48" s="182">
        <v>496.8</v>
      </c>
      <c r="F48" s="209" t="s">
        <v>193</v>
      </c>
    </row>
    <row r="49" spans="1:6">
      <c r="A49" s="27" t="s">
        <v>220</v>
      </c>
      <c r="B49" s="207"/>
      <c r="C49" s="207"/>
      <c r="D49" s="208"/>
      <c r="E49" s="182">
        <v>0</v>
      </c>
    </row>
    <row r="50" spans="1:6">
      <c r="A50" s="27" t="s">
        <v>151</v>
      </c>
      <c r="B50" s="207"/>
      <c r="C50" s="207"/>
      <c r="D50" s="208"/>
      <c r="E50" s="182">
        <v>11985.86</v>
      </c>
      <c r="F50" s="209" t="s">
        <v>193</v>
      </c>
    </row>
    <row r="51" spans="1:6">
      <c r="A51" s="27" t="s">
        <v>49</v>
      </c>
      <c r="B51" s="207"/>
      <c r="C51" s="207"/>
      <c r="D51" s="208"/>
      <c r="E51" s="182">
        <v>0</v>
      </c>
    </row>
    <row r="52" spans="1:6">
      <c r="A52" s="27" t="s">
        <v>176</v>
      </c>
      <c r="B52" s="207"/>
      <c r="C52" s="207"/>
      <c r="D52" s="208"/>
      <c r="E52" s="182">
        <v>18134.580000000002</v>
      </c>
      <c r="F52" s="209" t="s">
        <v>193</v>
      </c>
    </row>
    <row r="53" spans="1:6">
      <c r="A53" s="27" t="s">
        <v>272</v>
      </c>
      <c r="B53" s="207"/>
      <c r="C53" s="207"/>
      <c r="D53" s="208"/>
      <c r="E53" s="182">
        <v>493.12</v>
      </c>
      <c r="F53" s="209" t="s">
        <v>193</v>
      </c>
    </row>
    <row r="54" spans="1:6">
      <c r="A54" s="27" t="s">
        <v>43</v>
      </c>
      <c r="B54" s="207"/>
      <c r="C54" s="207"/>
      <c r="D54" s="208"/>
      <c r="E54" s="182">
        <v>3254.07</v>
      </c>
      <c r="F54" s="209" t="s">
        <v>193</v>
      </c>
    </row>
    <row r="55" spans="1:6">
      <c r="A55" s="27" t="s">
        <v>274</v>
      </c>
      <c r="B55" s="207"/>
      <c r="C55" s="207"/>
      <c r="D55" s="208"/>
      <c r="E55" s="182">
        <v>0</v>
      </c>
    </row>
    <row r="56" spans="1:6">
      <c r="A56" s="27" t="s">
        <v>324</v>
      </c>
      <c r="B56" s="207"/>
      <c r="C56" s="207"/>
      <c r="D56" s="208"/>
      <c r="E56" s="182">
        <v>0</v>
      </c>
    </row>
    <row r="57" spans="1:6">
      <c r="A57" s="27" t="s">
        <v>146</v>
      </c>
      <c r="B57" s="207"/>
      <c r="C57" s="207"/>
      <c r="D57" s="208"/>
      <c r="E57" s="182">
        <v>0</v>
      </c>
    </row>
    <row r="58" spans="1:6">
      <c r="A58" s="27" t="s">
        <v>34</v>
      </c>
      <c r="B58" s="207"/>
      <c r="C58" s="207"/>
      <c r="D58" s="208"/>
      <c r="E58" s="182">
        <v>0</v>
      </c>
    </row>
    <row r="59" spans="1:6">
      <c r="A59" s="27" t="s">
        <v>178</v>
      </c>
      <c r="B59" s="207"/>
      <c r="C59" s="207"/>
      <c r="D59" s="208"/>
      <c r="E59" s="182">
        <v>2352</v>
      </c>
      <c r="F59" s="209" t="s">
        <v>193</v>
      </c>
    </row>
    <row r="60" spans="1:6">
      <c r="A60" s="27" t="s">
        <v>72</v>
      </c>
      <c r="B60" s="207"/>
      <c r="C60" s="207"/>
      <c r="D60" s="208"/>
      <c r="E60" s="182">
        <v>99</v>
      </c>
      <c r="F60" s="209" t="s">
        <v>193</v>
      </c>
    </row>
    <row r="61" spans="1:6">
      <c r="A61" s="27" t="s">
        <v>307</v>
      </c>
      <c r="B61" s="207"/>
      <c r="C61" s="207"/>
      <c r="D61" s="208"/>
      <c r="E61" s="182">
        <v>0</v>
      </c>
    </row>
    <row r="62" spans="1:6">
      <c r="A62" s="27" t="s">
        <v>120</v>
      </c>
      <c r="B62" s="207"/>
      <c r="C62" s="207"/>
      <c r="D62" s="208"/>
      <c r="E62" s="182">
        <v>0</v>
      </c>
    </row>
    <row r="63" spans="1:6">
      <c r="A63" s="27" t="s">
        <v>331</v>
      </c>
      <c r="B63" s="207"/>
      <c r="C63" s="207"/>
      <c r="D63" s="208"/>
      <c r="E63" s="182">
        <v>100</v>
      </c>
    </row>
    <row r="64" spans="1:6">
      <c r="A64" s="27"/>
      <c r="B64" s="207"/>
      <c r="C64" s="207"/>
      <c r="D64" s="208"/>
      <c r="E64" s="183"/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248172.73000000004</v>
      </c>
    </row>
    <row r="68" spans="1:6" ht="15.75" thickBot="1">
      <c r="E68" s="46">
        <f>E66-E7</f>
        <v>248172.73000000004</v>
      </c>
    </row>
    <row r="69" spans="1:6" ht="23.25" thickBot="1">
      <c r="A69" s="154" t="s">
        <v>258</v>
      </c>
      <c r="B69" s="95">
        <f>B7</f>
        <v>553263.75</v>
      </c>
    </row>
    <row r="70" spans="1:6" ht="23.25" thickBot="1">
      <c r="A70" s="155" t="s">
        <v>259</v>
      </c>
      <c r="B70" s="98">
        <f>E66</f>
        <v>248172.73000000004</v>
      </c>
    </row>
    <row r="71" spans="1:6" ht="23.25" thickBot="1">
      <c r="A71" s="155" t="s">
        <v>260</v>
      </c>
      <c r="B71" s="98">
        <f>B69-B70</f>
        <v>305091.01999999996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305091.01999999996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workbookViewId="0">
      <selection activeCell="G65" sqref="G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336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145</v>
      </c>
      <c r="H10" s="7"/>
      <c r="I10" s="4"/>
      <c r="J10" s="19"/>
      <c r="K10" s="16"/>
    </row>
    <row r="11" spans="1:11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271</v>
      </c>
      <c r="H11" s="7" t="s">
        <v>91</v>
      </c>
      <c r="I11" s="4"/>
      <c r="J11" s="19"/>
      <c r="K11" s="16"/>
    </row>
    <row r="12" spans="1:11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175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271</v>
      </c>
      <c r="H13" s="7" t="s">
        <v>104</v>
      </c>
      <c r="I13" s="4"/>
      <c r="J13" s="19"/>
      <c r="K13" s="16"/>
    </row>
    <row r="14" spans="1:11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43741</v>
      </c>
      <c r="B15" s="4">
        <v>20</v>
      </c>
      <c r="C15" s="4" t="s">
        <v>217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147</v>
      </c>
      <c r="H16" s="7"/>
      <c r="I16" s="4"/>
      <c r="J16" s="19"/>
      <c r="K16" s="16"/>
    </row>
    <row r="17" spans="1:11">
      <c r="A17" s="15">
        <v>43742</v>
      </c>
      <c r="B17" s="4">
        <v>41534</v>
      </c>
      <c r="C17" s="4" t="s">
        <v>173</v>
      </c>
      <c r="D17" s="77">
        <v>3052.89</v>
      </c>
      <c r="E17" s="5"/>
      <c r="F17" s="6">
        <f t="shared" si="0"/>
        <v>290303.56</v>
      </c>
      <c r="G17" s="9" t="s">
        <v>324</v>
      </c>
      <c r="H17" s="7"/>
      <c r="I17" s="4"/>
      <c r="J17" s="19"/>
      <c r="K17" s="16"/>
    </row>
    <row r="18" spans="1:11">
      <c r="A18" s="15">
        <v>43742</v>
      </c>
      <c r="B18" s="4">
        <v>309379</v>
      </c>
      <c r="C18" s="4" t="s">
        <v>172</v>
      </c>
      <c r="D18" s="77">
        <v>94770.55</v>
      </c>
      <c r="E18" s="5"/>
      <c r="F18" s="6">
        <f t="shared" si="0"/>
        <v>195533.01</v>
      </c>
      <c r="G18" s="9" t="s">
        <v>270</v>
      </c>
      <c r="H18" s="7"/>
      <c r="I18" s="4"/>
      <c r="J18" s="19"/>
      <c r="K18" s="16"/>
    </row>
    <row r="19" spans="1:11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274</v>
      </c>
      <c r="H19" s="7" t="s">
        <v>340</v>
      </c>
      <c r="I19" s="4">
        <v>16</v>
      </c>
      <c r="J19" s="19">
        <v>1</v>
      </c>
      <c r="K19" s="16">
        <v>43713</v>
      </c>
    </row>
    <row r="20" spans="1:11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272</v>
      </c>
      <c r="H20" s="7" t="s">
        <v>275</v>
      </c>
      <c r="I20" s="4">
        <v>10</v>
      </c>
      <c r="J20" s="19">
        <v>1</v>
      </c>
      <c r="K20" s="16"/>
    </row>
    <row r="21" spans="1:11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145</v>
      </c>
      <c r="H22" s="7"/>
      <c r="I22" s="4"/>
      <c r="J22" s="19"/>
      <c r="K22" s="16"/>
    </row>
    <row r="23" spans="1:11">
      <c r="A23" s="15">
        <v>43745</v>
      </c>
      <c r="B23" s="4">
        <v>92019</v>
      </c>
      <c r="C23" s="4" t="s">
        <v>188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271</v>
      </c>
      <c r="H24" s="7" t="s">
        <v>113</v>
      </c>
      <c r="I24" s="4"/>
      <c r="J24" s="19"/>
      <c r="K24" s="16"/>
    </row>
    <row r="25" spans="1:11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43748</v>
      </c>
      <c r="B26" s="4">
        <v>557589</v>
      </c>
      <c r="C26" s="4" t="s">
        <v>216</v>
      </c>
      <c r="D26" s="77">
        <v>1125.58</v>
      </c>
      <c r="E26" s="5"/>
      <c r="F26" s="6">
        <f t="shared" si="0"/>
        <v>-1125.58</v>
      </c>
      <c r="G26" s="9" t="s">
        <v>218</v>
      </c>
      <c r="H26" s="7" t="s">
        <v>222</v>
      </c>
      <c r="I26" s="4">
        <v>889283327</v>
      </c>
      <c r="J26" s="19">
        <v>1</v>
      </c>
      <c r="K26" s="16"/>
    </row>
    <row r="27" spans="1:11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145</v>
      </c>
      <c r="H27" s="7"/>
      <c r="I27" s="4"/>
      <c r="J27" s="19"/>
      <c r="K27" s="16"/>
    </row>
    <row r="28" spans="1:11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174</v>
      </c>
      <c r="H28" s="7" t="s">
        <v>341</v>
      </c>
      <c r="I28" s="4">
        <v>248</v>
      </c>
      <c r="J28" s="19">
        <v>1</v>
      </c>
      <c r="K28" s="16">
        <v>43734</v>
      </c>
    </row>
    <row r="29" spans="1:11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174</v>
      </c>
      <c r="H29" s="7" t="s">
        <v>341</v>
      </c>
      <c r="I29" s="4">
        <v>253</v>
      </c>
      <c r="J29" s="19">
        <v>1</v>
      </c>
      <c r="K29" s="16">
        <v>43746</v>
      </c>
    </row>
    <row r="30" spans="1:11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174</v>
      </c>
      <c r="H30" s="7" t="s">
        <v>342</v>
      </c>
      <c r="I30" s="4">
        <v>1</v>
      </c>
      <c r="J30" s="19">
        <v>1</v>
      </c>
      <c r="K30" s="16">
        <v>43746</v>
      </c>
    </row>
    <row r="31" spans="1:11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174</v>
      </c>
      <c r="H31" s="7" t="s">
        <v>128</v>
      </c>
      <c r="I31" s="4">
        <v>46</v>
      </c>
      <c r="J31" s="19">
        <v>13</v>
      </c>
      <c r="K31" s="16">
        <v>43747</v>
      </c>
    </row>
    <row r="32" spans="1:11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174</v>
      </c>
      <c r="H32" s="7" t="s">
        <v>276</v>
      </c>
      <c r="I32" s="4">
        <v>8</v>
      </c>
      <c r="J32" s="19">
        <v>8</v>
      </c>
      <c r="K32" s="16">
        <v>43740</v>
      </c>
    </row>
    <row r="33" spans="1:11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174</v>
      </c>
      <c r="H33" s="7" t="s">
        <v>310</v>
      </c>
      <c r="I33" s="4">
        <v>49</v>
      </c>
      <c r="J33" s="19">
        <v>5</v>
      </c>
      <c r="K33" s="16">
        <v>43742</v>
      </c>
    </row>
    <row r="34" spans="1:11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174</v>
      </c>
      <c r="H34" s="7" t="s">
        <v>183</v>
      </c>
      <c r="I34" s="4">
        <v>38</v>
      </c>
      <c r="J34" s="19">
        <v>4</v>
      </c>
      <c r="K34" s="16">
        <v>43747</v>
      </c>
    </row>
    <row r="35" spans="1:11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174</v>
      </c>
      <c r="H35" s="7" t="s">
        <v>302</v>
      </c>
      <c r="I35" s="4">
        <v>85</v>
      </c>
      <c r="J35" s="19">
        <v>6</v>
      </c>
      <c r="K35" s="16">
        <v>43746</v>
      </c>
    </row>
    <row r="36" spans="1:11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174</v>
      </c>
      <c r="H36" s="7" t="s">
        <v>189</v>
      </c>
      <c r="I36" s="4">
        <v>14</v>
      </c>
      <c r="J36" s="19">
        <v>14</v>
      </c>
      <c r="K36" s="16">
        <v>43746</v>
      </c>
    </row>
    <row r="37" spans="1:11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145</v>
      </c>
      <c r="H37" s="7"/>
      <c r="I37" s="4"/>
      <c r="J37" s="19"/>
      <c r="K37" s="16"/>
    </row>
    <row r="38" spans="1:11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174</v>
      </c>
      <c r="H38" s="7" t="s">
        <v>127</v>
      </c>
      <c r="I38" s="4">
        <v>76</v>
      </c>
      <c r="J38" s="19">
        <v>6</v>
      </c>
      <c r="K38" s="16">
        <v>43747</v>
      </c>
    </row>
    <row r="39" spans="1:11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174</v>
      </c>
      <c r="H39" s="7" t="s">
        <v>224</v>
      </c>
      <c r="I39" s="4">
        <v>29</v>
      </c>
      <c r="J39" s="19">
        <v>2</v>
      </c>
      <c r="K39" s="16">
        <v>43746</v>
      </c>
    </row>
    <row r="40" spans="1:11">
      <c r="A40" s="15">
        <v>43753</v>
      </c>
      <c r="B40" s="4">
        <v>151655</v>
      </c>
      <c r="C40" s="4" t="s">
        <v>173</v>
      </c>
      <c r="D40" s="77">
        <v>2352</v>
      </c>
      <c r="E40" s="5"/>
      <c r="F40" s="6">
        <f t="shared" si="0"/>
        <v>-2352</v>
      </c>
      <c r="G40" s="9" t="s">
        <v>178</v>
      </c>
      <c r="H40" s="7" t="s">
        <v>223</v>
      </c>
      <c r="I40" s="4">
        <v>509</v>
      </c>
      <c r="J40" s="19">
        <v>5</v>
      </c>
      <c r="K40" s="16">
        <v>43739</v>
      </c>
    </row>
    <row r="41" spans="1:11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174</v>
      </c>
      <c r="H42" s="7" t="s">
        <v>333</v>
      </c>
      <c r="I42" s="4">
        <v>39</v>
      </c>
      <c r="J42" s="19">
        <v>2</v>
      </c>
      <c r="K42" s="16">
        <v>43746</v>
      </c>
    </row>
    <row r="43" spans="1:11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282</v>
      </c>
      <c r="H45" s="7" t="s">
        <v>256</v>
      </c>
      <c r="I45" s="4">
        <v>86</v>
      </c>
      <c r="J45" s="19">
        <v>1</v>
      </c>
      <c r="K45" s="16"/>
    </row>
    <row r="46" spans="1:11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176</v>
      </c>
      <c r="H46" s="7"/>
      <c r="I46" s="4"/>
      <c r="J46" s="19"/>
      <c r="K46" s="16"/>
    </row>
    <row r="47" spans="1:11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273</v>
      </c>
      <c r="H47" s="7" t="s">
        <v>257</v>
      </c>
      <c r="I47" s="4">
        <v>139</v>
      </c>
      <c r="J47" s="19">
        <v>1</v>
      </c>
      <c r="K47" s="16"/>
    </row>
    <row r="48" spans="1:11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282</v>
      </c>
      <c r="H48" s="7" t="s">
        <v>256</v>
      </c>
      <c r="I48" s="4">
        <v>90</v>
      </c>
      <c r="J48" s="19">
        <v>1</v>
      </c>
      <c r="K48" s="16"/>
    </row>
    <row r="49" spans="1:11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145</v>
      </c>
      <c r="H51" s="7"/>
      <c r="I51" s="4"/>
      <c r="J51" s="19"/>
      <c r="K51" s="16"/>
    </row>
    <row r="52" spans="1:11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150</v>
      </c>
      <c r="H52" s="7" t="s">
        <v>161</v>
      </c>
      <c r="I52" s="4">
        <v>1478451</v>
      </c>
      <c r="J52" s="19">
        <v>1</v>
      </c>
      <c r="K52" s="16"/>
    </row>
    <row r="53" spans="1:11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145</v>
      </c>
      <c r="H53" s="7"/>
      <c r="I53" s="4"/>
      <c r="J53" s="19"/>
      <c r="K53" s="16"/>
    </row>
    <row r="54" spans="1:11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174</v>
      </c>
      <c r="H54" s="7" t="s">
        <v>343</v>
      </c>
      <c r="I54" s="4">
        <v>709</v>
      </c>
      <c r="J54" s="19">
        <v>1</v>
      </c>
      <c r="K54" s="16">
        <v>43749</v>
      </c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24" t="s">
        <v>12</v>
      </c>
      <c r="B56" s="325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299" t="s">
        <v>123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</row>
    <row r="62" spans="1:11" ht="18" customHeight="1"/>
    <row r="63" spans="1:11" ht="18" customHeight="1">
      <c r="A63" s="318" t="s">
        <v>337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19" t="s">
        <v>21</v>
      </c>
      <c r="B65" s="320"/>
      <c r="C65" s="320"/>
      <c r="D65" s="320"/>
      <c r="E65" s="321"/>
      <c r="F65" s="3"/>
      <c r="G65" s="322" t="s">
        <v>20</v>
      </c>
      <c r="H65" s="322"/>
      <c r="I65" s="322"/>
      <c r="J65" s="322"/>
      <c r="K65" s="24"/>
    </row>
    <row r="66" spans="1:13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06">
        <f>SUMIF($G$8:$G$55,G66,$E$8:$E$55)</f>
        <v>293392.95</v>
      </c>
      <c r="J66" s="307"/>
      <c r="K66" s="24"/>
    </row>
    <row r="67" spans="1:13">
      <c r="A67" s="27" t="s">
        <v>149</v>
      </c>
      <c r="B67" s="63"/>
      <c r="C67" s="63"/>
      <c r="D67" s="80"/>
      <c r="E67" s="29">
        <f t="shared" si="1"/>
        <v>194000</v>
      </c>
      <c r="F67" s="3"/>
      <c r="G67" s="316" t="s">
        <v>145</v>
      </c>
      <c r="H67" s="317"/>
      <c r="I67" s="306">
        <f>SUMIF($G$8:$G$55,G67,$E$8:$E$55)</f>
        <v>166466.62</v>
      </c>
      <c r="J67" s="307"/>
      <c r="K67" s="24"/>
    </row>
    <row r="68" spans="1:13">
      <c r="A68" s="27" t="s">
        <v>174</v>
      </c>
      <c r="B68" s="63"/>
      <c r="C68" s="63"/>
      <c r="D68" s="80"/>
      <c r="E68" s="29">
        <f t="shared" si="1"/>
        <v>111725.09</v>
      </c>
      <c r="F68" s="3"/>
      <c r="G68" s="316" t="s">
        <v>232</v>
      </c>
      <c r="H68" s="317"/>
      <c r="I68" s="306">
        <f>SUMIF($G$8:$G$55,G68,$E$8:$E$55)</f>
        <v>0</v>
      </c>
      <c r="J68" s="307"/>
      <c r="K68" s="24"/>
      <c r="M68" s="209" t="s">
        <v>344</v>
      </c>
    </row>
    <row r="69" spans="1:13">
      <c r="A69" s="27" t="s">
        <v>177</v>
      </c>
      <c r="B69" s="63"/>
      <c r="C69" s="63"/>
      <c r="D69" s="80"/>
      <c r="E69" s="29">
        <f t="shared" si="1"/>
        <v>0</v>
      </c>
      <c r="F69" s="3"/>
      <c r="G69" s="316" t="s">
        <v>234</v>
      </c>
      <c r="H69" s="317"/>
      <c r="I69" s="306">
        <f>SUMIF($G$8:$G$55,G69,$E$8:$E$55)</f>
        <v>0</v>
      </c>
      <c r="J69" s="307"/>
      <c r="K69" s="24"/>
    </row>
    <row r="70" spans="1:13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06">
        <f>SUMIF($G$8:$G$55,G70,$E$8:$E$55)</f>
        <v>0</v>
      </c>
      <c r="J70" s="307"/>
      <c r="K70" s="24"/>
    </row>
    <row r="71" spans="1:13">
      <c r="A71" s="27" t="s">
        <v>175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302">
        <f>SUM(I66:J70)</f>
        <v>459859.57</v>
      </c>
      <c r="J71" s="303"/>
      <c r="K71" s="61">
        <f>E56-I71</f>
        <v>0</v>
      </c>
    </row>
    <row r="72" spans="1:13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>
      <c r="A73" s="27" t="s">
        <v>271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211" t="s">
        <v>19</v>
      </c>
      <c r="H74" s="212"/>
      <c r="I74" s="306">
        <f>'CEF Setembro 2019'!I75:J75</f>
        <v>305091.01999999984</v>
      </c>
      <c r="J74" s="307"/>
    </row>
    <row r="75" spans="1:13">
      <c r="A75" s="27" t="s">
        <v>270</v>
      </c>
      <c r="B75" s="63"/>
      <c r="C75" s="63"/>
      <c r="D75" s="80"/>
      <c r="E75" s="29">
        <f t="shared" si="1"/>
        <v>94770.55</v>
      </c>
      <c r="F75" s="3"/>
      <c r="G75" s="27" t="s">
        <v>149</v>
      </c>
      <c r="H75" s="212"/>
      <c r="I75" s="306">
        <f>SUMIF($G$8:$G$55,G75,$D$8:$D$55)</f>
        <v>194000</v>
      </c>
      <c r="J75" s="307"/>
    </row>
    <row r="76" spans="1:13">
      <c r="A76" s="27" t="s">
        <v>219</v>
      </c>
      <c r="B76" s="63"/>
      <c r="C76" s="63"/>
      <c r="D76" s="80"/>
      <c r="E76" s="29">
        <f t="shared" si="1"/>
        <v>0</v>
      </c>
      <c r="F76" s="3"/>
      <c r="G76" s="316" t="s">
        <v>145</v>
      </c>
      <c r="H76" s="317"/>
      <c r="I76" s="306">
        <f>-SUMIF($G$8:$G$55,G76,$E$8:$E$55)</f>
        <v>-166466.62</v>
      </c>
      <c r="J76" s="307"/>
    </row>
    <row r="77" spans="1:13">
      <c r="A77" s="27" t="s">
        <v>29</v>
      </c>
      <c r="B77" s="63"/>
      <c r="C77" s="63"/>
      <c r="D77" s="80"/>
      <c r="E77" s="29">
        <f t="shared" si="1"/>
        <v>8094.31</v>
      </c>
      <c r="F77" s="3"/>
      <c r="G77" s="211" t="s">
        <v>30</v>
      </c>
      <c r="H77" s="212"/>
      <c r="I77" s="306">
        <v>1611.41</v>
      </c>
      <c r="J77" s="307"/>
    </row>
    <row r="78" spans="1:13">
      <c r="A78" s="27" t="s">
        <v>282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314"/>
      <c r="J78" s="315"/>
    </row>
    <row r="79" spans="1:13">
      <c r="A79" s="27" t="s">
        <v>273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310">
        <f>SUM(I74:J77)</f>
        <v>334235.80999999982</v>
      </c>
      <c r="J79" s="311"/>
    </row>
    <row r="80" spans="1:13">
      <c r="A80" s="27" t="s">
        <v>218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210"/>
      <c r="K80" s="2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12"/>
      <c r="J81" s="313"/>
      <c r="K81" s="24"/>
    </row>
    <row r="82" spans="1:13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04">
        <f>'CEF Março 2019'!I88:J88</f>
        <v>0</v>
      </c>
      <c r="J82" s="305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212"/>
      <c r="I83" s="306">
        <f>SUMIF($G$8:$G$55,G83,$E$8:$E$55)</f>
        <v>0</v>
      </c>
      <c r="J83" s="307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211" t="s">
        <v>14</v>
      </c>
      <c r="H84" s="212"/>
      <c r="I84" s="306">
        <f>-SUMIF($G$8:$G$55,G84,$D$8:$D$55)</f>
        <v>0</v>
      </c>
      <c r="J84" s="307"/>
      <c r="K84" s="24"/>
    </row>
    <row r="85" spans="1:13">
      <c r="A85" s="27" t="s">
        <v>151</v>
      </c>
      <c r="B85" s="41"/>
      <c r="C85" s="41"/>
      <c r="D85" s="80"/>
      <c r="E85" s="29">
        <f t="shared" si="1"/>
        <v>0</v>
      </c>
      <c r="F85" s="3"/>
      <c r="G85" s="30"/>
      <c r="H85" s="31"/>
      <c r="I85" s="314"/>
      <c r="J85" s="315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02">
        <f>SUM(I82:J85)</f>
        <v>0</v>
      </c>
      <c r="J86" s="303"/>
      <c r="K86" s="24"/>
    </row>
    <row r="87" spans="1:13">
      <c r="A87" s="27" t="s">
        <v>176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210"/>
      <c r="K87" s="24"/>
    </row>
    <row r="88" spans="1:13">
      <c r="A88" s="27" t="s">
        <v>272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1600.07</v>
      </c>
      <c r="F89" s="3"/>
      <c r="G89" s="211" t="s">
        <v>19</v>
      </c>
      <c r="H89" s="212"/>
      <c r="I89" s="308">
        <f>'CEF Setembro 2019'!I89:J89</f>
        <v>62677.369999999704</v>
      </c>
      <c r="J89" s="309"/>
      <c r="K89" s="24"/>
    </row>
    <row r="90" spans="1:13">
      <c r="A90" s="27" t="s">
        <v>274</v>
      </c>
      <c r="B90" s="63"/>
      <c r="C90" s="63"/>
      <c r="D90" s="80"/>
      <c r="E90" s="29">
        <f t="shared" si="1"/>
        <v>58.7</v>
      </c>
      <c r="F90" s="3"/>
      <c r="G90" s="211" t="s">
        <v>42</v>
      </c>
      <c r="H90" s="212"/>
      <c r="I90" s="291">
        <f>249997.75+16000+16408.72+10986.48</f>
        <v>293392.94999999995</v>
      </c>
      <c r="J90" s="292"/>
      <c r="K90" s="24"/>
    </row>
    <row r="91" spans="1:13">
      <c r="A91" s="27" t="s">
        <v>324</v>
      </c>
      <c r="B91" s="63"/>
      <c r="C91" s="63"/>
      <c r="D91" s="80"/>
      <c r="E91" s="29">
        <f t="shared" si="1"/>
        <v>3052.89</v>
      </c>
      <c r="F91" s="3"/>
      <c r="G91" s="211" t="s">
        <v>147</v>
      </c>
      <c r="H91" s="212"/>
      <c r="I91" s="306">
        <f>-SUMIF($G$8:$G$55,G91,$E$8:$E$55)</f>
        <v>-293392.95</v>
      </c>
      <c r="J91" s="307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00"/>
      <c r="J92" s="301"/>
      <c r="K92" s="24"/>
    </row>
    <row r="93" spans="1:13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310">
        <f>SUM(I89:J92)</f>
        <v>62677.369999999646</v>
      </c>
      <c r="J93" s="311"/>
      <c r="K93" s="24"/>
      <c r="M93" s="39"/>
    </row>
    <row r="94" spans="1:13">
      <c r="A94" s="27" t="s">
        <v>178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307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04">
        <f>'CEF Setembro 2019'!I96:J96</f>
        <v>17976.080000000016</v>
      </c>
      <c r="J96" s="305"/>
      <c r="K96" s="24"/>
    </row>
    <row r="97" spans="1:11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338</v>
      </c>
      <c r="H97" s="41"/>
      <c r="I97" s="306">
        <v>21453.65</v>
      </c>
      <c r="J97" s="307"/>
      <c r="K97" s="24"/>
    </row>
    <row r="98" spans="1:11">
      <c r="A98" s="27" t="s">
        <v>331</v>
      </c>
      <c r="B98" s="63"/>
      <c r="C98" s="63"/>
      <c r="D98" s="80"/>
      <c r="E98" s="29">
        <f t="shared" si="1"/>
        <v>0</v>
      </c>
      <c r="F98" s="3"/>
      <c r="G98" s="27"/>
      <c r="H98" s="56"/>
      <c r="I98" s="306"/>
      <c r="J98" s="307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00">
        <f>-SUMIF($G$8:$G$55,G99,$D$8:$D$55)</f>
        <v>-17976.080000000002</v>
      </c>
      <c r="J99" s="301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02">
        <f>SUM(I96:J99)</f>
        <v>21453.650000000016</v>
      </c>
      <c r="J100" s="30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21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339</v>
      </c>
      <c r="H103" s="212"/>
      <c r="I103" s="291">
        <v>32107.51</v>
      </c>
      <c r="J103" s="292"/>
      <c r="K103" s="24"/>
    </row>
    <row r="104" spans="1:11">
      <c r="A104" s="297" t="s">
        <v>22</v>
      </c>
      <c r="B104" s="298"/>
      <c r="C104" s="298"/>
      <c r="D104" s="81"/>
      <c r="E104" s="35">
        <f>SUM(E66:E102)</f>
        <v>459859.57000000007</v>
      </c>
      <c r="F104" s="3"/>
      <c r="G104" s="27"/>
      <c r="H104" s="212"/>
      <c r="I104" s="291"/>
      <c r="J104" s="292"/>
      <c r="K104" s="24"/>
    </row>
    <row r="105" spans="1:11">
      <c r="E105" s="46">
        <f>D56-E104</f>
        <v>0</v>
      </c>
      <c r="F105" s="3"/>
      <c r="G105" s="27"/>
      <c r="H105" s="41"/>
      <c r="I105" s="295"/>
      <c r="J105" s="296"/>
      <c r="K105" s="24"/>
    </row>
    <row r="106" spans="1:11">
      <c r="F106" s="3"/>
      <c r="G106" s="89" t="s">
        <v>18</v>
      </c>
      <c r="H106" s="88"/>
      <c r="I106" s="302">
        <f>SUM(I103:J105)</f>
        <v>32107.51</v>
      </c>
      <c r="J106" s="303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209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305091.02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1611.41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600095.38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151439.9</v>
      </c>
      <c r="C11" s="115">
        <f>12750+6888.83+190.95+94770.55+8094.31+3435.55+469.2+493.12+58.7+3052.89</f>
        <v>130204.09999999999</v>
      </c>
      <c r="D11" s="115"/>
      <c r="E11" s="166">
        <f t="shared" ref="E11:E27" si="0">C11+D11</f>
        <v>130204.09999999999</v>
      </c>
      <c r="F11" s="134">
        <f>12750+17.6+92801.48+14176.16+379621.61+962.32+9689.37</f>
        <v>510018.54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117550.32</v>
      </c>
      <c r="C17" s="115">
        <f>111725.09+741.15+1125.58+1600.07+2352</f>
        <v>117543.89</v>
      </c>
      <c r="D17" s="115"/>
      <c r="E17" s="166">
        <f t="shared" si="0"/>
        <v>117543.89</v>
      </c>
      <c r="F17" s="134">
        <f>12001.24+115150.32</f>
        <v>127151.56000000001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135.5</v>
      </c>
      <c r="E25" s="166">
        <f t="shared" si="0"/>
        <v>135.5</v>
      </c>
      <c r="F25" s="115"/>
    </row>
    <row r="26" spans="1:10" ht="24.95" customHeight="1" thickBot="1">
      <c r="A26" s="114" t="s">
        <v>196</v>
      </c>
      <c r="B26" s="111">
        <v>21453.65</v>
      </c>
      <c r="C26" s="151">
        <v>17976.080000000002</v>
      </c>
      <c r="D26" s="111"/>
      <c r="E26" s="166">
        <f t="shared" si="0"/>
        <v>17976.080000000002</v>
      </c>
      <c r="F26" s="115">
        <v>21453.65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290443.87</v>
      </c>
      <c r="C28" s="152">
        <f>SUM(C11:C27)</f>
        <v>265724.07</v>
      </c>
      <c r="D28" s="152">
        <f>SUM(D11:D27)</f>
        <v>135.5</v>
      </c>
      <c r="E28" s="152">
        <f>SUM(E11:E27)</f>
        <v>265859.57</v>
      </c>
      <c r="F28" s="152">
        <f>SUM(F11:F27)</f>
        <v>658623.75</v>
      </c>
      <c r="H28" s="46">
        <f>2341727.93-1703139.24</f>
        <v>638588.69000000018</v>
      </c>
      <c r="J28" s="46">
        <f>F28-H28</f>
        <v>20035.059999999823</v>
      </c>
    </row>
    <row r="31" spans="1:10">
      <c r="A31" s="4" t="s">
        <v>233</v>
      </c>
      <c r="B31" s="221"/>
      <c r="C31" s="200"/>
      <c r="D31" s="201"/>
      <c r="E31" s="182">
        <v>0</v>
      </c>
    </row>
    <row r="32" spans="1:10">
      <c r="A32" s="4" t="s">
        <v>149</v>
      </c>
      <c r="B32" s="221"/>
      <c r="C32" s="200"/>
      <c r="D32" s="201"/>
      <c r="E32" s="182"/>
      <c r="F32" s="182">
        <v>194000</v>
      </c>
    </row>
    <row r="33" spans="1:7">
      <c r="A33" s="4" t="s">
        <v>174</v>
      </c>
      <c r="B33" s="221"/>
      <c r="C33" s="200"/>
      <c r="D33" s="201"/>
      <c r="E33" s="182">
        <v>111725.09</v>
      </c>
      <c r="F33" s="209" t="s">
        <v>193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3"/>
      <c r="D38" s="214"/>
      <c r="E38" s="182">
        <v>6888.83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190.95000000000002</v>
      </c>
      <c r="F39" s="209" t="s">
        <v>193</v>
      </c>
    </row>
    <row r="40" spans="1:7">
      <c r="A40" s="4" t="s">
        <v>270</v>
      </c>
      <c r="B40" s="223"/>
      <c r="C40" s="213"/>
      <c r="D40" s="214"/>
      <c r="E40" s="182">
        <v>94770.55</v>
      </c>
      <c r="F40" s="209" t="s">
        <v>193</v>
      </c>
    </row>
    <row r="41" spans="1:7">
      <c r="A41" s="4" t="s">
        <v>219</v>
      </c>
      <c r="B41" s="223"/>
      <c r="C41" s="213"/>
      <c r="D41" s="214"/>
      <c r="E41" s="182">
        <v>0</v>
      </c>
    </row>
    <row r="42" spans="1:7">
      <c r="A42" s="4" t="s">
        <v>29</v>
      </c>
      <c r="B42" s="223"/>
      <c r="C42" s="213"/>
      <c r="D42" s="214"/>
      <c r="E42" s="182">
        <v>8094.31</v>
      </c>
      <c r="F42" s="209" t="s">
        <v>193</v>
      </c>
    </row>
    <row r="43" spans="1:7">
      <c r="A43" s="4" t="s">
        <v>282</v>
      </c>
      <c r="B43" s="223"/>
      <c r="C43" s="213"/>
      <c r="D43" s="214"/>
      <c r="E43" s="182">
        <v>3435.5499999999997</v>
      </c>
      <c r="F43" s="209" t="s">
        <v>193</v>
      </c>
    </row>
    <row r="44" spans="1:7">
      <c r="A44" s="4" t="s">
        <v>273</v>
      </c>
      <c r="B44" s="223"/>
      <c r="C44" s="213"/>
      <c r="D44" s="214"/>
      <c r="E44" s="182">
        <v>741.15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1125.58</v>
      </c>
      <c r="F45" s="209" t="s">
        <v>193</v>
      </c>
      <c r="G45" s="46"/>
    </row>
    <row r="46" spans="1:7">
      <c r="A46" s="4" t="s">
        <v>231</v>
      </c>
      <c r="B46" s="223"/>
      <c r="C46" s="213"/>
      <c r="D46" s="214"/>
      <c r="E46" s="182">
        <v>0</v>
      </c>
    </row>
    <row r="47" spans="1:7">
      <c r="A47" s="4" t="s">
        <v>28</v>
      </c>
      <c r="B47" s="223"/>
      <c r="C47" s="213"/>
      <c r="D47" s="214"/>
      <c r="E47" s="182">
        <v>0</v>
      </c>
    </row>
    <row r="48" spans="1:7">
      <c r="A48" s="4" t="s">
        <v>150</v>
      </c>
      <c r="B48" s="223"/>
      <c r="C48" s="213"/>
      <c r="D48" s="214"/>
      <c r="E48" s="182">
        <v>469.2</v>
      </c>
      <c r="F48" s="209" t="s">
        <v>193</v>
      </c>
    </row>
    <row r="49" spans="1:6">
      <c r="A49" s="4" t="s">
        <v>220</v>
      </c>
      <c r="B49" s="223"/>
      <c r="C49" s="213"/>
      <c r="D49" s="214"/>
      <c r="E49" s="182">
        <v>0</v>
      </c>
    </row>
    <row r="50" spans="1:6">
      <c r="A50" s="4" t="s">
        <v>151</v>
      </c>
      <c r="B50" s="223"/>
      <c r="C50" s="213"/>
      <c r="D50" s="214"/>
      <c r="E50" s="182">
        <v>0</v>
      </c>
    </row>
    <row r="51" spans="1:6">
      <c r="A51" s="4" t="s">
        <v>49</v>
      </c>
      <c r="B51" s="223"/>
      <c r="C51" s="213"/>
      <c r="D51" s="214"/>
      <c r="E51" s="182">
        <v>0</v>
      </c>
    </row>
    <row r="52" spans="1:6">
      <c r="A52" s="4" t="s">
        <v>176</v>
      </c>
      <c r="B52" s="223"/>
      <c r="C52" s="213"/>
      <c r="D52" s="214"/>
      <c r="E52" s="182">
        <v>17976.080000000002</v>
      </c>
      <c r="F52" s="209" t="s">
        <v>193</v>
      </c>
    </row>
    <row r="53" spans="1:6">
      <c r="A53" s="4" t="s">
        <v>272</v>
      </c>
      <c r="B53" s="223"/>
      <c r="C53" s="213"/>
      <c r="D53" s="214"/>
      <c r="E53" s="182">
        <v>493.12</v>
      </c>
      <c r="F53" s="209" t="s">
        <v>193</v>
      </c>
    </row>
    <row r="54" spans="1:6">
      <c r="A54" s="4" t="s">
        <v>43</v>
      </c>
      <c r="B54" s="223"/>
      <c r="C54" s="213"/>
      <c r="D54" s="214"/>
      <c r="E54" s="182">
        <v>1600.07</v>
      </c>
      <c r="F54" s="209" t="s">
        <v>193</v>
      </c>
    </row>
    <row r="55" spans="1:6">
      <c r="A55" s="4" t="s">
        <v>274</v>
      </c>
      <c r="B55" s="223"/>
      <c r="C55" s="213"/>
      <c r="D55" s="214"/>
      <c r="E55" s="182">
        <v>58.7</v>
      </c>
      <c r="F55" s="209" t="s">
        <v>193</v>
      </c>
    </row>
    <row r="56" spans="1:6">
      <c r="A56" s="4" t="s">
        <v>324</v>
      </c>
      <c r="B56" s="223"/>
      <c r="C56" s="213"/>
      <c r="D56" s="214"/>
      <c r="E56" s="182">
        <v>3052.89</v>
      </c>
      <c r="F56" s="209" t="s">
        <v>193</v>
      </c>
    </row>
    <row r="57" spans="1:6">
      <c r="A57" s="4" t="s">
        <v>146</v>
      </c>
      <c r="B57" s="223"/>
      <c r="C57" s="213"/>
      <c r="D57" s="214"/>
      <c r="E57" s="182">
        <v>0</v>
      </c>
    </row>
    <row r="58" spans="1:6">
      <c r="A58" s="4" t="s">
        <v>34</v>
      </c>
      <c r="B58" s="223"/>
      <c r="C58" s="213"/>
      <c r="D58" s="214"/>
      <c r="E58" s="182">
        <v>0</v>
      </c>
    </row>
    <row r="59" spans="1:6">
      <c r="A59" s="4" t="s">
        <v>178</v>
      </c>
      <c r="B59" s="223"/>
      <c r="C59" s="213"/>
      <c r="D59" s="214"/>
      <c r="E59" s="182">
        <v>2352</v>
      </c>
      <c r="F59" s="209" t="s">
        <v>193</v>
      </c>
    </row>
    <row r="60" spans="1:6">
      <c r="A60" s="4" t="s">
        <v>72</v>
      </c>
      <c r="B60" s="223"/>
      <c r="C60" s="213"/>
      <c r="D60" s="214"/>
      <c r="E60" s="182">
        <v>135.5</v>
      </c>
      <c r="F60" s="209" t="s">
        <v>193</v>
      </c>
    </row>
    <row r="61" spans="1:6">
      <c r="A61" s="4" t="s">
        <v>307</v>
      </c>
      <c r="B61" s="223"/>
      <c r="C61" s="213"/>
      <c r="D61" s="214"/>
      <c r="E61" s="182">
        <v>0</v>
      </c>
    </row>
    <row r="62" spans="1:6">
      <c r="A62" s="4" t="s">
        <v>120</v>
      </c>
      <c r="B62" s="223"/>
      <c r="C62" s="213"/>
      <c r="D62" s="214"/>
      <c r="E62" s="182">
        <v>0</v>
      </c>
    </row>
    <row r="63" spans="1:6">
      <c r="A63" s="4" t="s">
        <v>331</v>
      </c>
      <c r="B63" s="223"/>
      <c r="C63" s="213"/>
      <c r="D63" s="214"/>
      <c r="E63" s="182">
        <v>0</v>
      </c>
    </row>
    <row r="64" spans="1:6">
      <c r="A64" s="27"/>
      <c r="B64" s="220"/>
      <c r="C64" s="213"/>
      <c r="D64" s="214"/>
      <c r="E64" s="183">
        <v>0</v>
      </c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265859.57</v>
      </c>
    </row>
    <row r="68" spans="1:6" ht="15.75" thickBot="1">
      <c r="E68" s="46">
        <f>E66-E7</f>
        <v>265859.57</v>
      </c>
    </row>
    <row r="69" spans="1:6" ht="23.25" thickBot="1">
      <c r="A69" s="154" t="s">
        <v>258</v>
      </c>
      <c r="B69" s="95">
        <f>B7</f>
        <v>600095.38</v>
      </c>
    </row>
    <row r="70" spans="1:6" ht="23.25" thickBot="1">
      <c r="A70" s="155" t="s">
        <v>259</v>
      </c>
      <c r="B70" s="98">
        <f>E66</f>
        <v>265859.57</v>
      </c>
    </row>
    <row r="71" spans="1:6" ht="23.25" thickBot="1">
      <c r="A71" s="155" t="s">
        <v>260</v>
      </c>
      <c r="B71" s="98">
        <f>B69-B70</f>
        <v>334235.81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334235.81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topLeftCell="A73"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175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43774</v>
      </c>
      <c r="B13" s="4">
        <v>102019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147</v>
      </c>
      <c r="H15" s="7"/>
      <c r="I15" s="4"/>
      <c r="J15" s="19"/>
      <c r="K15" s="16"/>
    </row>
    <row r="16" spans="1:11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272</v>
      </c>
      <c r="H16" s="7" t="s">
        <v>117</v>
      </c>
      <c r="I16" s="4">
        <v>11</v>
      </c>
      <c r="J16" s="19">
        <v>1</v>
      </c>
      <c r="K16" s="16"/>
    </row>
    <row r="17" spans="1:11">
      <c r="A17" s="15">
        <v>43776</v>
      </c>
      <c r="B17" s="4">
        <v>309379</v>
      </c>
      <c r="C17" s="4" t="s">
        <v>172</v>
      </c>
      <c r="D17" s="77">
        <v>92801.48</v>
      </c>
      <c r="E17" s="5"/>
      <c r="F17" s="6">
        <f t="shared" si="0"/>
        <v>200098.35000000003</v>
      </c>
      <c r="G17" s="9" t="s">
        <v>270</v>
      </c>
      <c r="H17" s="7"/>
      <c r="I17" s="4"/>
      <c r="J17" s="19"/>
      <c r="K17" s="16"/>
    </row>
    <row r="18" spans="1:11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149</v>
      </c>
      <c r="H18" s="7"/>
      <c r="I18" s="4"/>
      <c r="J18" s="19"/>
      <c r="K18" s="16"/>
    </row>
    <row r="19" spans="1:11">
      <c r="A19" s="15">
        <v>43780</v>
      </c>
      <c r="B19" s="4">
        <v>580387</v>
      </c>
      <c r="C19" s="4" t="s">
        <v>216</v>
      </c>
      <c r="D19" s="77">
        <v>1760.71</v>
      </c>
      <c r="E19" s="5"/>
      <c r="F19" s="6">
        <f t="shared" si="0"/>
        <v>-1662.3599999999651</v>
      </c>
      <c r="G19" s="9" t="s">
        <v>218</v>
      </c>
      <c r="H19" s="7" t="s">
        <v>222</v>
      </c>
      <c r="I19" s="4">
        <v>889283328</v>
      </c>
      <c r="J19" s="19">
        <v>1</v>
      </c>
      <c r="K19" s="16"/>
    </row>
    <row r="20" spans="1:11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145</v>
      </c>
      <c r="H20" s="7"/>
      <c r="I20" s="4"/>
      <c r="J20" s="19"/>
      <c r="K20" s="16"/>
    </row>
    <row r="21" spans="1:11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189</v>
      </c>
      <c r="I21" s="4">
        <v>15</v>
      </c>
      <c r="J21" s="19">
        <v>15</v>
      </c>
      <c r="K21" s="16">
        <v>43777</v>
      </c>
    </row>
    <row r="22" spans="1:11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145</v>
      </c>
      <c r="H22" s="7"/>
      <c r="I22" s="4"/>
      <c r="J22" s="19"/>
      <c r="K22" s="16"/>
    </row>
    <row r="23" spans="1:11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302</v>
      </c>
      <c r="I23" s="4">
        <v>91</v>
      </c>
      <c r="J23" s="19">
        <v>7</v>
      </c>
      <c r="K23" s="16">
        <v>43777</v>
      </c>
    </row>
    <row r="24" spans="1:11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276</v>
      </c>
      <c r="I24" s="4">
        <v>9</v>
      </c>
      <c r="J24" s="19">
        <v>9</v>
      </c>
      <c r="K24" s="16">
        <v>43780</v>
      </c>
    </row>
    <row r="25" spans="1:11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342</v>
      </c>
      <c r="I26" s="4">
        <v>2</v>
      </c>
      <c r="J26" s="19">
        <v>2</v>
      </c>
      <c r="K26" s="16">
        <v>43777</v>
      </c>
    </row>
    <row r="27" spans="1:11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341</v>
      </c>
      <c r="I27" s="4">
        <v>262</v>
      </c>
      <c r="J27" s="19">
        <v>2</v>
      </c>
      <c r="K27" s="16">
        <v>43780</v>
      </c>
    </row>
    <row r="28" spans="1:11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183</v>
      </c>
      <c r="I28" s="4">
        <v>40</v>
      </c>
      <c r="J28" s="19">
        <v>5</v>
      </c>
      <c r="K28" s="16">
        <v>43780</v>
      </c>
    </row>
    <row r="29" spans="1:11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224</v>
      </c>
      <c r="I29" s="4">
        <v>34</v>
      </c>
      <c r="J29" s="19">
        <v>3</v>
      </c>
      <c r="K29" s="16">
        <v>43777</v>
      </c>
    </row>
    <row r="30" spans="1:11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145</v>
      </c>
      <c r="H32" s="7"/>
      <c r="I32" s="4"/>
      <c r="J32" s="19"/>
      <c r="K32" s="16"/>
    </row>
    <row r="33" spans="1:11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333</v>
      </c>
      <c r="I33" s="4">
        <v>41</v>
      </c>
      <c r="J33" s="19">
        <v>3</v>
      </c>
      <c r="K33" s="16">
        <v>43777</v>
      </c>
    </row>
    <row r="34" spans="1:11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310</v>
      </c>
      <c r="I34" s="4">
        <v>54</v>
      </c>
      <c r="J34" s="19">
        <v>6</v>
      </c>
      <c r="K34" s="16">
        <v>43781</v>
      </c>
    </row>
    <row r="35" spans="1:11">
      <c r="A35" s="15">
        <v>43787</v>
      </c>
      <c r="B35" s="4">
        <v>181554</v>
      </c>
      <c r="C35" s="4" t="s">
        <v>173</v>
      </c>
      <c r="D35" s="77">
        <v>2352</v>
      </c>
      <c r="E35" s="5"/>
      <c r="F35" s="6">
        <f t="shared" si="0"/>
        <v>-4308.5999999999785</v>
      </c>
      <c r="G35" s="9" t="s">
        <v>178</v>
      </c>
      <c r="H35" s="7" t="s">
        <v>223</v>
      </c>
      <c r="I35" s="4">
        <v>520</v>
      </c>
      <c r="J35" s="19">
        <v>6</v>
      </c>
      <c r="K35" s="16">
        <v>43770</v>
      </c>
    </row>
    <row r="36" spans="1:11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145</v>
      </c>
      <c r="H36" s="7"/>
      <c r="I36" s="4"/>
      <c r="J36" s="19"/>
      <c r="K36" s="16"/>
    </row>
    <row r="37" spans="1:11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346</v>
      </c>
      <c r="I37" s="4">
        <v>128</v>
      </c>
      <c r="J37" s="19">
        <v>1</v>
      </c>
      <c r="K37" s="16">
        <v>43777</v>
      </c>
    </row>
    <row r="38" spans="1:11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145</v>
      </c>
      <c r="H38" s="7"/>
      <c r="I38" s="4"/>
      <c r="J38" s="19"/>
      <c r="K38" s="16"/>
    </row>
    <row r="39" spans="1:11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282</v>
      </c>
      <c r="H39" s="7" t="s">
        <v>256</v>
      </c>
      <c r="I39" s="4">
        <v>96</v>
      </c>
      <c r="J39" s="19">
        <v>1</v>
      </c>
      <c r="K39" s="16"/>
    </row>
    <row r="40" spans="1:11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145</v>
      </c>
      <c r="H40" s="7"/>
      <c r="I40" s="4"/>
      <c r="J40" s="19"/>
      <c r="K40" s="16"/>
    </row>
    <row r="41" spans="1:11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150</v>
      </c>
      <c r="H41" s="7" t="s">
        <v>161</v>
      </c>
      <c r="I41" s="4">
        <v>1497981</v>
      </c>
      <c r="J41" s="19">
        <v>1</v>
      </c>
      <c r="K41" s="16"/>
    </row>
    <row r="42" spans="1:11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273</v>
      </c>
      <c r="H43" s="7" t="s">
        <v>257</v>
      </c>
      <c r="I43" s="4">
        <v>151</v>
      </c>
      <c r="J43" s="19">
        <v>1</v>
      </c>
      <c r="K43" s="16"/>
    </row>
    <row r="44" spans="1:11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145</v>
      </c>
      <c r="H45" s="7"/>
      <c r="I45" s="4"/>
      <c r="J45" s="19"/>
      <c r="K45" s="16"/>
    </row>
    <row r="46" spans="1:11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176</v>
      </c>
      <c r="H46" s="7"/>
      <c r="I46" s="4"/>
      <c r="J46" s="19"/>
      <c r="K46" s="16"/>
    </row>
    <row r="47" spans="1:11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343</v>
      </c>
      <c r="I47" s="4">
        <v>737</v>
      </c>
      <c r="J47" s="19">
        <v>2</v>
      </c>
      <c r="K47" s="16">
        <v>43770</v>
      </c>
    </row>
    <row r="48" spans="1:11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219</v>
      </c>
      <c r="H48" s="7" t="s">
        <v>319</v>
      </c>
      <c r="I48" s="4">
        <v>6586</v>
      </c>
      <c r="J48" s="19">
        <v>1</v>
      </c>
      <c r="K48" s="16">
        <v>43774</v>
      </c>
    </row>
    <row r="49" spans="1:11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145</v>
      </c>
      <c r="H49" s="7"/>
      <c r="I49" s="4"/>
      <c r="J49" s="19"/>
      <c r="K49" s="16"/>
    </row>
    <row r="50" spans="1:11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234</v>
      </c>
      <c r="H50" s="7"/>
      <c r="I50" s="4"/>
      <c r="J50" s="19"/>
      <c r="K50" s="16"/>
    </row>
    <row r="51" spans="1:11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145</v>
      </c>
      <c r="H51" s="7"/>
      <c r="I51" s="4"/>
      <c r="J51" s="19"/>
      <c r="K51" s="16"/>
    </row>
    <row r="52" spans="1:11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151</v>
      </c>
      <c r="H52" s="7"/>
      <c r="I52" s="4"/>
      <c r="J52" s="19"/>
      <c r="K52" s="16"/>
    </row>
    <row r="53" spans="1:11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332</v>
      </c>
      <c r="I53" s="4">
        <v>20246</v>
      </c>
      <c r="J53" s="19">
        <v>1</v>
      </c>
      <c r="K53" s="16">
        <v>43769</v>
      </c>
    </row>
    <row r="54" spans="1:11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145</v>
      </c>
      <c r="H54" s="7"/>
      <c r="I54" s="4"/>
      <c r="J54" s="19"/>
      <c r="K54" s="16"/>
    </row>
    <row r="55" spans="1:11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272</v>
      </c>
      <c r="H55" s="7" t="s">
        <v>117</v>
      </c>
      <c r="I55" s="4">
        <v>12</v>
      </c>
      <c r="J55" s="19">
        <v>1</v>
      </c>
      <c r="K55" s="16"/>
    </row>
    <row r="56" spans="1:11">
      <c r="A56" s="15">
        <v>43798</v>
      </c>
      <c r="B56" s="4">
        <v>309379</v>
      </c>
      <c r="C56" s="4" t="s">
        <v>172</v>
      </c>
      <c r="D56" s="77">
        <v>54826.89</v>
      </c>
      <c r="E56" s="5"/>
      <c r="F56" s="6">
        <f t="shared" si="0"/>
        <v>-55094.889999999985</v>
      </c>
      <c r="G56" s="9" t="s">
        <v>233</v>
      </c>
      <c r="H56" s="7"/>
      <c r="I56" s="4"/>
      <c r="J56" s="19"/>
      <c r="K56" s="16"/>
    </row>
    <row r="57" spans="1:11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145</v>
      </c>
      <c r="H57" s="7"/>
      <c r="I57" s="4"/>
      <c r="J57" s="19"/>
      <c r="K57" s="16"/>
    </row>
    <row r="58" spans="1:11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>
      <c r="A59" s="324" t="s">
        <v>12</v>
      </c>
      <c r="B59" s="325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>
      <c r="A64" s="299" t="s">
        <v>123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</row>
    <row r="65" spans="1:13" ht="18" customHeight="1"/>
    <row r="66" spans="1:13" ht="18" customHeight="1">
      <c r="A66" s="318" t="s">
        <v>347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</row>
    <row r="67" spans="1:13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19" t="s">
        <v>21</v>
      </c>
      <c r="B68" s="320"/>
      <c r="C68" s="320"/>
      <c r="D68" s="320"/>
      <c r="E68" s="321"/>
      <c r="F68" s="3"/>
      <c r="G68" s="322" t="s">
        <v>20</v>
      </c>
      <c r="H68" s="322"/>
      <c r="I68" s="322"/>
      <c r="J68" s="322"/>
      <c r="K68" s="24"/>
    </row>
    <row r="69" spans="1:13">
      <c r="A69" s="28" t="s">
        <v>233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147</v>
      </c>
      <c r="H69" s="26"/>
      <c r="I69" s="306">
        <f>SUMIF($G$8:$G$58,G69,$E$8:$E$58)</f>
        <v>293392.95</v>
      </c>
      <c r="J69" s="307"/>
      <c r="K69" s="24"/>
    </row>
    <row r="70" spans="1:13">
      <c r="A70" s="27" t="s">
        <v>149</v>
      </c>
      <c r="B70" s="63"/>
      <c r="C70" s="63"/>
      <c r="D70" s="80"/>
      <c r="E70" s="29">
        <f t="shared" si="1"/>
        <v>200000</v>
      </c>
      <c r="F70" s="3"/>
      <c r="G70" s="316" t="s">
        <v>145</v>
      </c>
      <c r="H70" s="317"/>
      <c r="I70" s="306">
        <f>SUMIF($G$8:$G$58,G70,$E$8:$E$58)</f>
        <v>234034.78999999998</v>
      </c>
      <c r="J70" s="307"/>
      <c r="K70" s="24"/>
    </row>
    <row r="71" spans="1:13">
      <c r="A71" s="27" t="s">
        <v>174</v>
      </c>
      <c r="B71" s="63"/>
      <c r="C71" s="63"/>
      <c r="D71" s="80"/>
      <c r="E71" s="29">
        <f t="shared" si="1"/>
        <v>0</v>
      </c>
      <c r="F71" s="3"/>
      <c r="G71" s="316" t="s">
        <v>232</v>
      </c>
      <c r="H71" s="317"/>
      <c r="I71" s="306">
        <f>SUMIF($G$8:$G$58,G71,$E$8:$E$58)</f>
        <v>0</v>
      </c>
      <c r="J71" s="307"/>
      <c r="K71" s="24"/>
      <c r="M71" s="209" t="s">
        <v>344</v>
      </c>
    </row>
    <row r="72" spans="1:13">
      <c r="A72" s="27" t="s">
        <v>177</v>
      </c>
      <c r="B72" s="63"/>
      <c r="C72" s="63"/>
      <c r="D72" s="80"/>
      <c r="E72" s="29">
        <f t="shared" si="1"/>
        <v>0</v>
      </c>
      <c r="F72" s="3"/>
      <c r="G72" s="316" t="s">
        <v>234</v>
      </c>
      <c r="H72" s="317"/>
      <c r="I72" s="306">
        <f>SUMIF($G$8:$G$58,G72,$E$8:$E$58)</f>
        <v>333.5</v>
      </c>
      <c r="J72" s="307"/>
      <c r="K72" s="24"/>
    </row>
    <row r="73" spans="1:13">
      <c r="A73" s="27" t="s">
        <v>255</v>
      </c>
      <c r="B73" s="63"/>
      <c r="C73" s="63"/>
      <c r="D73" s="80"/>
      <c r="E73" s="29">
        <f t="shared" si="1"/>
        <v>0</v>
      </c>
      <c r="F73" s="3"/>
      <c r="G73" s="62"/>
      <c r="H73" s="26"/>
      <c r="I73" s="306">
        <f>SUMIF($G$8:$G$58,G73,$E$8:$E$58)</f>
        <v>0</v>
      </c>
      <c r="J73" s="307"/>
      <c r="K73" s="24"/>
    </row>
    <row r="74" spans="1:13">
      <c r="A74" s="27" t="s">
        <v>175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302">
        <f>SUM(I69:J73)</f>
        <v>527761.24</v>
      </c>
      <c r="J74" s="303"/>
      <c r="K74" s="61">
        <f>E59-I74</f>
        <v>0</v>
      </c>
    </row>
    <row r="75" spans="1:13">
      <c r="A75" s="62" t="s">
        <v>221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>
      <c r="A76" s="27" t="s">
        <v>271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>
      <c r="A77" s="27" t="s">
        <v>25</v>
      </c>
      <c r="B77" s="63"/>
      <c r="C77" s="63"/>
      <c r="D77" s="80"/>
      <c r="E77" s="29">
        <f t="shared" si="1"/>
        <v>0</v>
      </c>
      <c r="F77" s="3"/>
      <c r="G77" s="216" t="s">
        <v>19</v>
      </c>
      <c r="H77" s="217"/>
      <c r="I77" s="306">
        <f>'CEF Outubro 2019'!I79:J79</f>
        <v>334235.80999999982</v>
      </c>
      <c r="J77" s="307"/>
    </row>
    <row r="78" spans="1:13">
      <c r="A78" s="27" t="s">
        <v>270</v>
      </c>
      <c r="B78" s="63"/>
      <c r="C78" s="63"/>
      <c r="D78" s="80"/>
      <c r="E78" s="29">
        <f t="shared" si="1"/>
        <v>92801.48</v>
      </c>
      <c r="F78" s="3"/>
      <c r="G78" s="27" t="s">
        <v>149</v>
      </c>
      <c r="H78" s="217"/>
      <c r="I78" s="306">
        <f>SUMIF($G$8:$G$58,G78,$D$8:$D$58)</f>
        <v>200000</v>
      </c>
      <c r="J78" s="307"/>
    </row>
    <row r="79" spans="1:13">
      <c r="A79" s="27" t="s">
        <v>219</v>
      </c>
      <c r="B79" s="63"/>
      <c r="C79" s="63"/>
      <c r="D79" s="80"/>
      <c r="E79" s="29">
        <f t="shared" si="1"/>
        <v>36</v>
      </c>
      <c r="F79" s="3"/>
      <c r="G79" s="316" t="s">
        <v>145</v>
      </c>
      <c r="H79" s="317"/>
      <c r="I79" s="306">
        <f>-SUMIF($G$8:$G$58,G79,$E$8:$E$58)</f>
        <v>-234034.78999999998</v>
      </c>
      <c r="J79" s="307"/>
    </row>
    <row r="80" spans="1:13">
      <c r="A80" s="27" t="s">
        <v>29</v>
      </c>
      <c r="B80" s="63"/>
      <c r="C80" s="63"/>
      <c r="D80" s="80"/>
      <c r="E80" s="29">
        <f t="shared" si="1"/>
        <v>5016.2</v>
      </c>
      <c r="F80" s="3"/>
      <c r="G80" s="216" t="s">
        <v>30</v>
      </c>
      <c r="H80" s="217"/>
      <c r="I80" s="306">
        <v>1344.35</v>
      </c>
      <c r="J80" s="307"/>
    </row>
    <row r="81" spans="1:13">
      <c r="A81" s="27" t="s">
        <v>282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314"/>
      <c r="J81" s="315"/>
    </row>
    <row r="82" spans="1:13">
      <c r="A82" s="27" t="s">
        <v>273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310">
        <f>SUM(I77:J80)</f>
        <v>301545.36999999982</v>
      </c>
      <c r="J82" s="311"/>
    </row>
    <row r="83" spans="1:13">
      <c r="A83" s="27" t="s">
        <v>218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215"/>
      <c r="K83" s="24"/>
    </row>
    <row r="84" spans="1:13">
      <c r="A84" s="27" t="s">
        <v>231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312"/>
      <c r="J84" s="313"/>
      <c r="K84" s="24"/>
    </row>
    <row r="85" spans="1:13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304">
        <f>'CEF Março 2019'!I88:J88</f>
        <v>0</v>
      </c>
      <c r="J85" s="305"/>
      <c r="K85" s="24"/>
    </row>
    <row r="86" spans="1:13">
      <c r="A86" s="27" t="s">
        <v>150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217"/>
      <c r="I86" s="306">
        <f>SUMIF($G$8:$G$58,G86,$E$8:$E$58)</f>
        <v>0</v>
      </c>
      <c r="J86" s="307"/>
      <c r="K86" s="24"/>
    </row>
    <row r="87" spans="1:13">
      <c r="A87" s="27" t="s">
        <v>220</v>
      </c>
      <c r="B87" s="63"/>
      <c r="C87" s="63"/>
      <c r="D87" s="80"/>
      <c r="E87" s="29">
        <f t="shared" si="1"/>
        <v>0</v>
      </c>
      <c r="F87" s="3"/>
      <c r="G87" s="216" t="s">
        <v>14</v>
      </c>
      <c r="H87" s="217"/>
      <c r="I87" s="306">
        <f>-SUMIF($G$8:$G$58,G87,$D$8:$D$58)</f>
        <v>0</v>
      </c>
      <c r="J87" s="307"/>
      <c r="K87" s="24"/>
    </row>
    <row r="88" spans="1:13">
      <c r="A88" s="27" t="s">
        <v>151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314"/>
      <c r="J88" s="315"/>
      <c r="K88" s="24"/>
    </row>
    <row r="89" spans="1:13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302">
        <f>SUM(I85:J88)</f>
        <v>0</v>
      </c>
      <c r="J89" s="303"/>
      <c r="K89" s="24"/>
    </row>
    <row r="90" spans="1:13">
      <c r="A90" s="27" t="s">
        <v>176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215"/>
      <c r="K90" s="24"/>
    </row>
    <row r="91" spans="1:13">
      <c r="A91" s="27" t="s">
        <v>272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216" t="s">
        <v>19</v>
      </c>
      <c r="H92" s="217"/>
      <c r="I92" s="308">
        <f>'CEF Outubro 2019'!I93:J93</f>
        <v>62677.369999999646</v>
      </c>
      <c r="J92" s="309"/>
      <c r="K92" s="24"/>
    </row>
    <row r="93" spans="1:13">
      <c r="A93" s="27" t="s">
        <v>274</v>
      </c>
      <c r="B93" s="63"/>
      <c r="C93" s="63"/>
      <c r="D93" s="80"/>
      <c r="E93" s="29">
        <f t="shared" si="1"/>
        <v>0</v>
      </c>
      <c r="F93" s="3"/>
      <c r="G93" s="216" t="s">
        <v>42</v>
      </c>
      <c r="H93" s="217"/>
      <c r="I93" s="291">
        <f>249997.75+16000+16408.72+10986.48</f>
        <v>293392.94999999995</v>
      </c>
      <c r="J93" s="292"/>
      <c r="K93" s="24"/>
    </row>
    <row r="94" spans="1:13">
      <c r="A94" s="27" t="s">
        <v>324</v>
      </c>
      <c r="B94" s="63"/>
      <c r="C94" s="63"/>
      <c r="D94" s="80"/>
      <c r="E94" s="29">
        <f t="shared" si="1"/>
        <v>0</v>
      </c>
      <c r="F94" s="3"/>
      <c r="G94" s="216" t="s">
        <v>147</v>
      </c>
      <c r="H94" s="217"/>
      <c r="I94" s="306">
        <f>-SUMIF($G$8:$G$58,G94,$E$8:$E$58)</f>
        <v>-293392.95</v>
      </c>
      <c r="J94" s="307"/>
      <c r="K94" s="24"/>
    </row>
    <row r="95" spans="1:13">
      <c r="A95" s="27" t="s">
        <v>146</v>
      </c>
      <c r="B95" s="63"/>
      <c r="C95" s="63"/>
      <c r="D95" s="80"/>
      <c r="E95" s="29">
        <f t="shared" si="1"/>
        <v>0</v>
      </c>
      <c r="F95" s="3"/>
      <c r="G95" s="30"/>
      <c r="H95" s="31"/>
      <c r="I95" s="300"/>
      <c r="J95" s="301"/>
      <c r="K95" s="24"/>
    </row>
    <row r="96" spans="1:13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310">
        <f>SUM(I92:J95)</f>
        <v>62677.369999999588</v>
      </c>
      <c r="J96" s="311"/>
      <c r="K96" s="24"/>
      <c r="M96" s="39"/>
    </row>
    <row r="97" spans="1:11">
      <c r="A97" s="27" t="s">
        <v>178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>
      <c r="A99" s="27" t="s">
        <v>307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304">
        <f>'CEF Outubro 2019'!I100:J100</f>
        <v>21453.650000000016</v>
      </c>
      <c r="J99" s="305"/>
      <c r="K99" s="24"/>
    </row>
    <row r="100" spans="1:11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348</v>
      </c>
      <c r="H100" s="41"/>
      <c r="I100" s="306">
        <v>20581.509999999998</v>
      </c>
      <c r="J100" s="307"/>
      <c r="K100" s="24"/>
    </row>
    <row r="101" spans="1:11">
      <c r="A101" s="27" t="s">
        <v>331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306"/>
      <c r="J101" s="307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9" t="s">
        <v>176</v>
      </c>
      <c r="H102" s="60"/>
      <c r="I102" s="300">
        <f>-SUMIF($G$8:$G$58,G102,$D$8:$D$58)</f>
        <v>-21453.65</v>
      </c>
      <c r="J102" s="301"/>
      <c r="K102" s="24"/>
    </row>
    <row r="103" spans="1:11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302">
        <f>SUM(I99:J102)</f>
        <v>20581.510000000017</v>
      </c>
      <c r="J103" s="303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215"/>
      <c r="K104" s="24"/>
    </row>
    <row r="105" spans="1:11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>
      <c r="A106" s="30"/>
      <c r="B106" s="85"/>
      <c r="C106" s="85"/>
      <c r="D106" s="86"/>
      <c r="E106" s="87"/>
      <c r="F106" s="3"/>
      <c r="G106" s="27" t="s">
        <v>349</v>
      </c>
      <c r="H106" s="217"/>
      <c r="I106" s="291">
        <v>31561.35</v>
      </c>
      <c r="J106" s="292"/>
      <c r="K106" s="24"/>
    </row>
    <row r="107" spans="1:11">
      <c r="A107" s="297" t="s">
        <v>22</v>
      </c>
      <c r="B107" s="298"/>
      <c r="C107" s="298"/>
      <c r="D107" s="81"/>
      <c r="E107" s="35">
        <f>SUM(E69:E105)</f>
        <v>527761.24000000011</v>
      </c>
      <c r="F107" s="3"/>
      <c r="G107" s="27"/>
      <c r="H107" s="217"/>
      <c r="I107" s="291"/>
      <c r="J107" s="292"/>
      <c r="K107" s="24"/>
    </row>
    <row r="108" spans="1:11">
      <c r="E108" s="46">
        <f>D59-E107</f>
        <v>0</v>
      </c>
      <c r="F108" s="3"/>
      <c r="G108" s="27"/>
      <c r="H108" s="41"/>
      <c r="I108" s="295"/>
      <c r="J108" s="296"/>
      <c r="K108" s="24"/>
    </row>
    <row r="109" spans="1:11">
      <c r="F109" s="3"/>
      <c r="G109" s="89" t="s">
        <v>18</v>
      </c>
      <c r="H109" s="88"/>
      <c r="I109" s="302">
        <f>SUM(I106:J108)</f>
        <v>31561.35</v>
      </c>
      <c r="J109" s="303"/>
      <c r="K109" s="24"/>
    </row>
    <row r="110" spans="1:11">
      <c r="A110" s="27"/>
      <c r="B110" s="63"/>
      <c r="C110" s="63"/>
      <c r="D110" s="80"/>
      <c r="K110" s="24"/>
    </row>
    <row r="111" spans="1:11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>
      <c r="D112" s="209"/>
      <c r="F112" s="3"/>
      <c r="G112" s="45"/>
      <c r="H112" s="45"/>
      <c r="I112" s="69"/>
      <c r="J112" s="69"/>
      <c r="K112" s="24"/>
    </row>
    <row r="114" spans="5:5">
      <c r="E114" s="46"/>
    </row>
    <row r="115" spans="5:5">
      <c r="E115" s="46"/>
    </row>
    <row r="118" spans="5:5">
      <c r="E118" s="46"/>
    </row>
  </sheetData>
  <mergeCells count="46">
    <mergeCell ref="A64:K64"/>
    <mergeCell ref="A2:K2"/>
    <mergeCell ref="A4:K4"/>
    <mergeCell ref="A6:F6"/>
    <mergeCell ref="G6:K6"/>
    <mergeCell ref="A59:B59"/>
    <mergeCell ref="A66:K66"/>
    <mergeCell ref="A68:E68"/>
    <mergeCell ref="G68:J68"/>
    <mergeCell ref="I69:J69"/>
    <mergeCell ref="G70:H70"/>
    <mergeCell ref="I70:J70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334235.81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1344.35</v>
      </c>
      <c r="C4" s="41"/>
      <c r="D4" s="144"/>
      <c r="E4" s="41"/>
      <c r="F4" s="41"/>
    </row>
    <row r="5" spans="1:6" ht="15.75" thickBot="1">
      <c r="A5" s="177"/>
      <c r="B5" s="129">
        <v>333.5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629306.61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f>152374.6</f>
        <v>152374.6</v>
      </c>
      <c r="C11" s="115">
        <f>54826.89+12750+1704.26+92801.48+36+5016.2+3425.16+100+469.2+18849.33+761.12</f>
        <v>190739.64</v>
      </c>
      <c r="D11" s="115"/>
      <c r="E11" s="166">
        <f t="shared" ref="E11:E27" si="0">C11+D11</f>
        <v>190739.64</v>
      </c>
      <c r="F11" s="134">
        <f>12767.6+93357.35+17908.17+401149.84+7298.3+944.78+934.72+5540.9</f>
        <v>539901.66000000015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115900</f>
        <v>115900</v>
      </c>
      <c r="C17" s="115">
        <f>717+1760.71+2920.2+107719.04+2352</f>
        <v>115468.95</v>
      </c>
      <c r="D17" s="115"/>
      <c r="E17" s="166">
        <f t="shared" si="0"/>
        <v>115468.95</v>
      </c>
      <c r="F17" s="134">
        <f>2423.58+1873.9+115900</f>
        <v>120197.48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20581.509999999998</v>
      </c>
      <c r="C26" s="151">
        <v>21453.65</v>
      </c>
      <c r="D26" s="111"/>
      <c r="E26" s="166">
        <f t="shared" si="0"/>
        <v>21453.65</v>
      </c>
      <c r="F26" s="115">
        <v>20581.509999999998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288955.11</v>
      </c>
      <c r="C28" s="152">
        <f>SUM(C11:C27)</f>
        <v>327662.24000000005</v>
      </c>
      <c r="D28" s="152">
        <f>SUM(D11:D27)</f>
        <v>99</v>
      </c>
      <c r="E28" s="152">
        <f>SUM(E11:E27)</f>
        <v>327761.24000000005</v>
      </c>
      <c r="F28" s="152">
        <f>SUM(F11:F27)</f>
        <v>680680.65000000014</v>
      </c>
      <c r="H28" s="46">
        <f>1797033.99-1116353.34</f>
        <v>680680.64999999991</v>
      </c>
      <c r="J28" s="46">
        <f>F28-H28</f>
        <v>0</v>
      </c>
    </row>
    <row r="31" spans="1:10">
      <c r="A31" s="4" t="s">
        <v>233</v>
      </c>
      <c r="B31" s="221"/>
      <c r="C31" s="200"/>
      <c r="D31" s="201"/>
      <c r="E31" s="182">
        <v>54826.89</v>
      </c>
      <c r="F31" s="209" t="s">
        <v>193</v>
      </c>
    </row>
    <row r="32" spans="1:10">
      <c r="A32" s="4" t="s">
        <v>149</v>
      </c>
      <c r="B32" s="221"/>
      <c r="C32" s="200"/>
      <c r="D32" s="201"/>
      <c r="E32" s="182"/>
      <c r="F32" s="182">
        <v>200000</v>
      </c>
    </row>
    <row r="33" spans="1:7">
      <c r="A33" s="4" t="s">
        <v>174</v>
      </c>
      <c r="B33" s="221"/>
      <c r="C33" s="200"/>
      <c r="D33" s="201"/>
      <c r="E33" s="182">
        <v>0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8"/>
      <c r="D38" s="219"/>
      <c r="E38" s="182">
        <v>1704.26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0</v>
      </c>
    </row>
    <row r="40" spans="1:7">
      <c r="A40" s="4" t="s">
        <v>270</v>
      </c>
      <c r="B40" s="223"/>
      <c r="C40" s="218"/>
      <c r="D40" s="219"/>
      <c r="E40" s="182">
        <v>92801.48</v>
      </c>
      <c r="F40" s="209" t="s">
        <v>193</v>
      </c>
    </row>
    <row r="41" spans="1:7">
      <c r="A41" s="4" t="s">
        <v>219</v>
      </c>
      <c r="B41" s="223"/>
      <c r="C41" s="218"/>
      <c r="D41" s="219"/>
      <c r="E41" s="182">
        <v>36</v>
      </c>
      <c r="F41" s="209" t="s">
        <v>193</v>
      </c>
    </row>
    <row r="42" spans="1:7">
      <c r="A42" s="4" t="s">
        <v>29</v>
      </c>
      <c r="B42" s="223"/>
      <c r="C42" s="218"/>
      <c r="D42" s="219"/>
      <c r="E42" s="182">
        <v>5016.2</v>
      </c>
      <c r="F42" s="209" t="s">
        <v>193</v>
      </c>
    </row>
    <row r="43" spans="1:7">
      <c r="A43" s="4" t="s">
        <v>282</v>
      </c>
      <c r="B43" s="223"/>
      <c r="C43" s="218"/>
      <c r="D43" s="219"/>
      <c r="E43" s="182">
        <v>3425.16</v>
      </c>
      <c r="F43" s="209" t="s">
        <v>193</v>
      </c>
    </row>
    <row r="44" spans="1:7">
      <c r="A44" s="4" t="s">
        <v>273</v>
      </c>
      <c r="B44" s="223"/>
      <c r="C44" s="218"/>
      <c r="D44" s="219"/>
      <c r="E44" s="182">
        <v>717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1760.71</v>
      </c>
      <c r="F45" s="209" t="s">
        <v>193</v>
      </c>
      <c r="G45" s="46"/>
    </row>
    <row r="46" spans="1:7">
      <c r="A46" s="4" t="s">
        <v>231</v>
      </c>
      <c r="B46" s="223"/>
      <c r="C46" s="218"/>
      <c r="D46" s="219"/>
      <c r="E46" s="182">
        <v>0</v>
      </c>
    </row>
    <row r="47" spans="1:7">
      <c r="A47" s="4" t="s">
        <v>28</v>
      </c>
      <c r="B47" s="223"/>
      <c r="C47" s="218"/>
      <c r="D47" s="219"/>
      <c r="E47" s="182">
        <v>100</v>
      </c>
      <c r="F47" s="209" t="s">
        <v>193</v>
      </c>
    </row>
    <row r="48" spans="1:7">
      <c r="A48" s="4" t="s">
        <v>150</v>
      </c>
      <c r="B48" s="223"/>
      <c r="C48" s="218"/>
      <c r="D48" s="219"/>
      <c r="E48" s="182">
        <v>469.2</v>
      </c>
      <c r="F48" s="209" t="s">
        <v>193</v>
      </c>
    </row>
    <row r="49" spans="1:6">
      <c r="A49" s="4" t="s">
        <v>220</v>
      </c>
      <c r="B49" s="223"/>
      <c r="C49" s="218"/>
      <c r="D49" s="219"/>
      <c r="E49" s="182">
        <v>0</v>
      </c>
    </row>
    <row r="50" spans="1:6">
      <c r="A50" s="4" t="s">
        <v>151</v>
      </c>
      <c r="B50" s="223"/>
      <c r="C50" s="218"/>
      <c r="D50" s="219"/>
      <c r="E50" s="182">
        <v>18849.330000000002</v>
      </c>
      <c r="F50" s="209" t="s">
        <v>193</v>
      </c>
    </row>
    <row r="51" spans="1:6">
      <c r="A51" s="4" t="s">
        <v>49</v>
      </c>
      <c r="B51" s="223"/>
      <c r="C51" s="218"/>
      <c r="D51" s="219"/>
      <c r="E51" s="182">
        <v>0</v>
      </c>
    </row>
    <row r="52" spans="1:6">
      <c r="A52" s="4" t="s">
        <v>176</v>
      </c>
      <c r="B52" s="223"/>
      <c r="C52" s="218"/>
      <c r="D52" s="219"/>
      <c r="E52" s="182">
        <v>21453.65</v>
      </c>
      <c r="F52" s="209" t="s">
        <v>193</v>
      </c>
    </row>
    <row r="53" spans="1:6">
      <c r="A53" s="4" t="s">
        <v>272</v>
      </c>
      <c r="B53" s="223"/>
      <c r="C53" s="218"/>
      <c r="D53" s="219"/>
      <c r="E53" s="182">
        <v>761.12</v>
      </c>
      <c r="F53" s="209" t="s">
        <v>193</v>
      </c>
    </row>
    <row r="54" spans="1:6">
      <c r="A54" s="4" t="s">
        <v>43</v>
      </c>
      <c r="B54" s="223"/>
      <c r="C54" s="218"/>
      <c r="D54" s="219"/>
      <c r="E54" s="182">
        <v>2920.2000000000003</v>
      </c>
      <c r="F54" s="209" t="s">
        <v>193</v>
      </c>
    </row>
    <row r="55" spans="1:6">
      <c r="A55" s="4" t="s">
        <v>274</v>
      </c>
      <c r="B55" s="223"/>
      <c r="C55" s="218"/>
      <c r="D55" s="219"/>
      <c r="E55" s="182">
        <v>0</v>
      </c>
    </row>
    <row r="56" spans="1:6">
      <c r="A56" s="4" t="s">
        <v>324</v>
      </c>
      <c r="B56" s="223"/>
      <c r="C56" s="218"/>
      <c r="D56" s="219"/>
      <c r="E56" s="182">
        <v>0</v>
      </c>
    </row>
    <row r="57" spans="1:6">
      <c r="A57" s="4" t="s">
        <v>146</v>
      </c>
      <c r="B57" s="223"/>
      <c r="C57" s="218"/>
      <c r="D57" s="219"/>
      <c r="E57" s="182">
        <v>0</v>
      </c>
    </row>
    <row r="58" spans="1:6">
      <c r="A58" s="4" t="s">
        <v>34</v>
      </c>
      <c r="B58" s="223"/>
      <c r="C58" s="218"/>
      <c r="D58" s="219"/>
      <c r="E58" s="182">
        <v>107719.03999999999</v>
      </c>
      <c r="F58" s="209" t="s">
        <v>193</v>
      </c>
    </row>
    <row r="59" spans="1:6">
      <c r="A59" s="4" t="s">
        <v>178</v>
      </c>
      <c r="B59" s="223"/>
      <c r="C59" s="218"/>
      <c r="D59" s="219"/>
      <c r="E59" s="182">
        <v>2352</v>
      </c>
      <c r="F59" s="209" t="s">
        <v>193</v>
      </c>
    </row>
    <row r="60" spans="1:6">
      <c r="A60" s="4" t="s">
        <v>72</v>
      </c>
      <c r="B60" s="223"/>
      <c r="C60" s="218"/>
      <c r="D60" s="219"/>
      <c r="E60" s="182">
        <v>99</v>
      </c>
      <c r="F60" s="209" t="s">
        <v>193</v>
      </c>
    </row>
    <row r="61" spans="1:6">
      <c r="A61" s="4" t="s">
        <v>307</v>
      </c>
      <c r="B61" s="223"/>
      <c r="C61" s="218"/>
      <c r="D61" s="219"/>
      <c r="E61" s="182">
        <v>0</v>
      </c>
    </row>
    <row r="62" spans="1:6">
      <c r="A62" s="4" t="s">
        <v>120</v>
      </c>
      <c r="B62" s="223"/>
      <c r="C62" s="218"/>
      <c r="D62" s="219"/>
      <c r="E62" s="182">
        <v>0</v>
      </c>
    </row>
    <row r="63" spans="1:6">
      <c r="A63" s="4" t="s">
        <v>331</v>
      </c>
      <c r="B63" s="223"/>
      <c r="C63" s="218"/>
      <c r="D63" s="219"/>
      <c r="E63" s="182">
        <v>0</v>
      </c>
    </row>
    <row r="64" spans="1:6">
      <c r="A64" s="27"/>
      <c r="B64" s="220"/>
      <c r="C64" s="218"/>
      <c r="D64" s="219"/>
      <c r="E64" s="183">
        <v>0</v>
      </c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327761.24000000005</v>
      </c>
    </row>
    <row r="68" spans="1:6" ht="15.75" thickBot="1">
      <c r="E68" s="46">
        <f>E66-E7</f>
        <v>327761.24000000005</v>
      </c>
    </row>
    <row r="69" spans="1:6" ht="23.25" thickBot="1">
      <c r="A69" s="154" t="s">
        <v>258</v>
      </c>
      <c r="B69" s="95">
        <f>B7</f>
        <v>629306.61</v>
      </c>
    </row>
    <row r="70" spans="1:6" ht="23.25" thickBot="1">
      <c r="A70" s="155" t="s">
        <v>259</v>
      </c>
      <c r="B70" s="98">
        <f>E66</f>
        <v>327761.24000000005</v>
      </c>
    </row>
    <row r="71" spans="1:6" ht="23.25" thickBot="1">
      <c r="A71" s="155" t="s">
        <v>260</v>
      </c>
      <c r="B71" s="98">
        <f>B69-B70</f>
        <v>301545.36999999994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301545.36999999994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350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271</v>
      </c>
      <c r="H10" s="7" t="s">
        <v>117</v>
      </c>
      <c r="I10" s="4"/>
      <c r="J10" s="19"/>
      <c r="K10" s="16"/>
    </row>
    <row r="11" spans="1:11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271</v>
      </c>
      <c r="H12" s="7" t="s">
        <v>92</v>
      </c>
      <c r="I12" s="4"/>
      <c r="J12" s="19"/>
      <c r="K12" s="16"/>
    </row>
    <row r="13" spans="1:11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145</v>
      </c>
      <c r="H13" s="7"/>
      <c r="I13" s="4"/>
      <c r="J13" s="19"/>
      <c r="K13" s="16"/>
    </row>
    <row r="14" spans="1:11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175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271</v>
      </c>
      <c r="H15" s="7" t="s">
        <v>91</v>
      </c>
      <c r="I15" s="4"/>
      <c r="J15" s="19"/>
      <c r="K15" s="16"/>
    </row>
    <row r="16" spans="1:11">
      <c r="A16" s="15">
        <v>43803</v>
      </c>
      <c r="B16" s="4">
        <v>309379</v>
      </c>
      <c r="C16" s="4" t="s">
        <v>172</v>
      </c>
      <c r="D16" s="77">
        <v>93357.35</v>
      </c>
      <c r="E16" s="5"/>
      <c r="F16" s="6">
        <f t="shared" si="0"/>
        <v>-95591.28</v>
      </c>
      <c r="G16" s="9" t="s">
        <v>270</v>
      </c>
      <c r="H16" s="7"/>
      <c r="I16" s="4"/>
      <c r="J16" s="19"/>
      <c r="K16" s="16"/>
    </row>
    <row r="17" spans="1:11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271</v>
      </c>
      <c r="H17" s="7" t="s">
        <v>101</v>
      </c>
      <c r="I17" s="4"/>
      <c r="J17" s="19"/>
      <c r="K17" s="16"/>
    </row>
    <row r="18" spans="1:11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147</v>
      </c>
      <c r="H20" s="7"/>
      <c r="I20" s="4"/>
      <c r="J20" s="19"/>
      <c r="K20" s="16"/>
    </row>
    <row r="21" spans="1:11">
      <c r="A21" s="15">
        <v>43804</v>
      </c>
      <c r="B21" s="4">
        <v>112019</v>
      </c>
      <c r="C21" s="4" t="s">
        <v>188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271</v>
      </c>
      <c r="H22" s="7" t="s">
        <v>89</v>
      </c>
      <c r="I22" s="4"/>
      <c r="J22" s="19"/>
      <c r="K22" s="16"/>
    </row>
    <row r="23" spans="1:11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271</v>
      </c>
      <c r="H23" s="7" t="s">
        <v>102</v>
      </c>
      <c r="I23" s="4"/>
      <c r="J23" s="19"/>
      <c r="K23" s="16"/>
    </row>
    <row r="24" spans="1:11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149</v>
      </c>
      <c r="H24" s="7"/>
      <c r="I24" s="4"/>
      <c r="J24" s="19"/>
      <c r="K24" s="16"/>
    </row>
    <row r="25" spans="1:11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272</v>
      </c>
      <c r="H25" s="7" t="s">
        <v>117</v>
      </c>
      <c r="I25" s="4">
        <v>1</v>
      </c>
      <c r="J25" s="19">
        <v>1</v>
      </c>
      <c r="K25" s="16"/>
    </row>
    <row r="26" spans="1:11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145</v>
      </c>
      <c r="H26" s="7"/>
      <c r="I26" s="4"/>
      <c r="J26" s="19"/>
      <c r="K26" s="16"/>
    </row>
    <row r="27" spans="1:11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145</v>
      </c>
      <c r="H28" s="7"/>
      <c r="I28" s="4"/>
      <c r="J28" s="19"/>
      <c r="K28" s="16"/>
    </row>
    <row r="29" spans="1:11">
      <c r="A29" s="15">
        <v>43809</v>
      </c>
      <c r="B29" s="4">
        <v>506718</v>
      </c>
      <c r="C29" s="4" t="s">
        <v>216</v>
      </c>
      <c r="D29" s="77">
        <v>1873.9</v>
      </c>
      <c r="E29" s="5"/>
      <c r="F29" s="6">
        <f t="shared" si="0"/>
        <v>-3.2514435588382185E-11</v>
      </c>
      <c r="G29" s="9" t="s">
        <v>218</v>
      </c>
      <c r="H29" s="7" t="s">
        <v>222</v>
      </c>
      <c r="I29" s="4">
        <v>889311137</v>
      </c>
      <c r="J29" s="19">
        <v>1</v>
      </c>
      <c r="K29" s="16"/>
    </row>
    <row r="30" spans="1:11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174</v>
      </c>
      <c r="H30" s="7" t="s">
        <v>189</v>
      </c>
      <c r="I30" s="4">
        <v>16</v>
      </c>
      <c r="J30" s="19">
        <v>16</v>
      </c>
      <c r="K30" s="16">
        <v>43808</v>
      </c>
    </row>
    <row r="31" spans="1:11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174</v>
      </c>
      <c r="H31" s="7" t="s">
        <v>351</v>
      </c>
      <c r="I31" s="4">
        <v>24</v>
      </c>
      <c r="J31" s="19">
        <v>1</v>
      </c>
      <c r="K31" s="16">
        <v>43809</v>
      </c>
    </row>
    <row r="32" spans="1:11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174</v>
      </c>
      <c r="H32" s="7" t="s">
        <v>343</v>
      </c>
      <c r="I32" s="4">
        <v>782</v>
      </c>
      <c r="J32" s="19">
        <v>3</v>
      </c>
      <c r="K32" s="16">
        <v>43800</v>
      </c>
    </row>
    <row r="33" spans="1:11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174</v>
      </c>
      <c r="H33" s="7" t="s">
        <v>127</v>
      </c>
      <c r="I33" s="4">
        <v>80</v>
      </c>
      <c r="J33" s="19">
        <v>8</v>
      </c>
      <c r="K33" s="16">
        <v>43808</v>
      </c>
    </row>
    <row r="34" spans="1:11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174</v>
      </c>
      <c r="H34" s="7" t="s">
        <v>224</v>
      </c>
      <c r="I34" s="4">
        <v>36</v>
      </c>
      <c r="J34" s="19">
        <v>4</v>
      </c>
      <c r="K34" s="16">
        <v>43808</v>
      </c>
    </row>
    <row r="35" spans="1:11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145</v>
      </c>
      <c r="H35" s="7"/>
      <c r="I35" s="4"/>
      <c r="J35" s="19"/>
      <c r="K35" s="16"/>
    </row>
    <row r="36" spans="1:11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174</v>
      </c>
      <c r="H36" s="7" t="s">
        <v>128</v>
      </c>
      <c r="I36" s="4">
        <v>53</v>
      </c>
      <c r="J36" s="19">
        <v>15</v>
      </c>
      <c r="K36" s="16">
        <v>43808</v>
      </c>
    </row>
    <row r="37" spans="1:11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174</v>
      </c>
      <c r="H37" s="7" t="s">
        <v>183</v>
      </c>
      <c r="I37" s="4">
        <v>42</v>
      </c>
      <c r="J37" s="19">
        <v>6</v>
      </c>
      <c r="K37" s="16">
        <v>43808</v>
      </c>
    </row>
    <row r="38" spans="1:11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174</v>
      </c>
      <c r="H38" s="7" t="s">
        <v>302</v>
      </c>
      <c r="I38" s="4">
        <v>97</v>
      </c>
      <c r="J38" s="19">
        <v>8</v>
      </c>
      <c r="K38" s="16">
        <v>43808</v>
      </c>
    </row>
    <row r="39" spans="1:11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174</v>
      </c>
      <c r="H39" s="7" t="s">
        <v>346</v>
      </c>
      <c r="I39" s="4">
        <v>132</v>
      </c>
      <c r="J39" s="19">
        <v>2</v>
      </c>
      <c r="K39" s="16">
        <v>43802</v>
      </c>
    </row>
    <row r="40" spans="1:11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174</v>
      </c>
      <c r="H40" s="7" t="s">
        <v>333</v>
      </c>
      <c r="I40" s="4">
        <v>43</v>
      </c>
      <c r="J40" s="19">
        <v>4</v>
      </c>
      <c r="K40" s="16">
        <v>43808</v>
      </c>
    </row>
    <row r="41" spans="1:11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174</v>
      </c>
      <c r="H41" s="7" t="s">
        <v>276</v>
      </c>
      <c r="I41" s="4">
        <v>10</v>
      </c>
      <c r="J41" s="19">
        <v>10</v>
      </c>
      <c r="K41" s="16">
        <v>43808</v>
      </c>
    </row>
    <row r="42" spans="1:11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174</v>
      </c>
      <c r="H42" s="7" t="s">
        <v>352</v>
      </c>
      <c r="I42" s="4">
        <v>35</v>
      </c>
      <c r="J42" s="19">
        <v>1</v>
      </c>
      <c r="K42" s="16">
        <v>43808</v>
      </c>
    </row>
    <row r="43" spans="1:11">
      <c r="A43" s="15">
        <v>43812</v>
      </c>
      <c r="B43" s="4">
        <v>309379</v>
      </c>
      <c r="C43" s="4" t="s">
        <v>172</v>
      </c>
      <c r="D43" s="77">
        <v>40743.620000000003</v>
      </c>
      <c r="E43" s="5"/>
      <c r="F43" s="6">
        <f t="shared" si="0"/>
        <v>15822.719999999965</v>
      </c>
      <c r="G43" s="9" t="s">
        <v>270</v>
      </c>
      <c r="H43" s="7"/>
      <c r="I43" s="4"/>
      <c r="J43" s="19"/>
      <c r="K43" s="16"/>
    </row>
    <row r="44" spans="1:11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174</v>
      </c>
      <c r="H44" s="7" t="s">
        <v>310</v>
      </c>
      <c r="I44" s="4">
        <v>60</v>
      </c>
      <c r="J44" s="19">
        <v>7</v>
      </c>
      <c r="K44" s="16">
        <v>43808</v>
      </c>
    </row>
    <row r="45" spans="1:11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174</v>
      </c>
      <c r="H45" s="7" t="s">
        <v>342</v>
      </c>
      <c r="I45" s="4">
        <v>3</v>
      </c>
      <c r="J45" s="19">
        <v>3</v>
      </c>
      <c r="K45" s="16">
        <v>43808</v>
      </c>
    </row>
    <row r="46" spans="1:11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174</v>
      </c>
      <c r="H46" s="7" t="s">
        <v>341</v>
      </c>
      <c r="I46" s="4">
        <v>273</v>
      </c>
      <c r="J46" s="19">
        <v>3</v>
      </c>
      <c r="K46" s="16">
        <v>43808</v>
      </c>
    </row>
    <row r="47" spans="1:11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145</v>
      </c>
      <c r="H47" s="7"/>
      <c r="I47" s="4"/>
      <c r="J47" s="19"/>
      <c r="K47" s="16"/>
    </row>
    <row r="48" spans="1:11">
      <c r="A48" s="15">
        <v>43815</v>
      </c>
      <c r="B48" s="4">
        <v>161528</v>
      </c>
      <c r="C48" s="4" t="s">
        <v>173</v>
      </c>
      <c r="D48" s="77">
        <v>2352</v>
      </c>
      <c r="E48" s="5"/>
      <c r="F48" s="6">
        <f t="shared" si="0"/>
        <v>827.27999999996337</v>
      </c>
      <c r="G48" s="9" t="s">
        <v>178</v>
      </c>
      <c r="H48" s="7" t="s">
        <v>223</v>
      </c>
      <c r="I48" s="4">
        <v>537</v>
      </c>
      <c r="J48" s="19">
        <v>7</v>
      </c>
      <c r="K48" s="16">
        <v>43801</v>
      </c>
    </row>
    <row r="49" spans="1:11">
      <c r="A49" s="15">
        <v>43815</v>
      </c>
      <c r="B49" s="4">
        <v>161529</v>
      </c>
      <c r="C49" s="4" t="s">
        <v>173</v>
      </c>
      <c r="D49" s="77">
        <v>827.28</v>
      </c>
      <c r="E49" s="5"/>
      <c r="F49" s="6">
        <f t="shared" si="0"/>
        <v>-3.6607161746360362E-11</v>
      </c>
      <c r="G49" s="9" t="s">
        <v>179</v>
      </c>
      <c r="H49" s="7"/>
      <c r="I49" s="4"/>
      <c r="J49" s="19"/>
      <c r="K49" s="16"/>
    </row>
    <row r="50" spans="1:11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145</v>
      </c>
      <c r="H50" s="7"/>
      <c r="I50" s="4"/>
      <c r="J50" s="19"/>
      <c r="K50" s="16"/>
    </row>
    <row r="51" spans="1:11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179</v>
      </c>
      <c r="H51" s="7" t="s">
        <v>95</v>
      </c>
      <c r="I51" s="4"/>
      <c r="J51" s="19"/>
      <c r="K51" s="16"/>
    </row>
    <row r="52" spans="1:11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271</v>
      </c>
      <c r="H52" s="7" t="s">
        <v>353</v>
      </c>
      <c r="I52" s="4"/>
      <c r="J52" s="19"/>
      <c r="K52" s="16"/>
    </row>
    <row r="53" spans="1:11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150</v>
      </c>
      <c r="H54" s="7" t="s">
        <v>161</v>
      </c>
      <c r="I54" s="4">
        <v>1</v>
      </c>
      <c r="J54" s="19">
        <v>1</v>
      </c>
      <c r="K54" s="16"/>
    </row>
    <row r="55" spans="1:11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145</v>
      </c>
      <c r="H55" s="7"/>
      <c r="I55" s="4"/>
      <c r="J55" s="19"/>
      <c r="K55" s="16"/>
    </row>
    <row r="56" spans="1:11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273</v>
      </c>
      <c r="H56" s="7" t="s">
        <v>257</v>
      </c>
      <c r="I56" s="4">
        <v>165</v>
      </c>
      <c r="J56" s="19">
        <v>1</v>
      </c>
      <c r="K56" s="16">
        <v>43818</v>
      </c>
    </row>
    <row r="57" spans="1:11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282</v>
      </c>
      <c r="H59" s="7" t="s">
        <v>256</v>
      </c>
      <c r="I59" s="4">
        <v>1</v>
      </c>
      <c r="J59" s="19">
        <v>1</v>
      </c>
      <c r="K59" s="16"/>
    </row>
    <row r="60" spans="1:11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282</v>
      </c>
      <c r="H60" s="7" t="s">
        <v>256</v>
      </c>
      <c r="I60" s="4">
        <v>1</v>
      </c>
      <c r="J60" s="19">
        <v>1</v>
      </c>
      <c r="K60" s="16"/>
    </row>
    <row r="61" spans="1:11">
      <c r="A61" s="15">
        <v>43819</v>
      </c>
      <c r="B61" s="4">
        <v>7</v>
      </c>
      <c r="C61" s="4" t="s">
        <v>269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272</v>
      </c>
      <c r="H62" s="7" t="s">
        <v>117</v>
      </c>
      <c r="I62" s="4">
        <v>13</v>
      </c>
      <c r="J62" s="19">
        <v>1</v>
      </c>
      <c r="K62" s="16"/>
    </row>
    <row r="63" spans="1:11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145</v>
      </c>
      <c r="H63" s="7"/>
      <c r="I63" s="4"/>
      <c r="J63" s="19"/>
      <c r="K63" s="16"/>
    </row>
    <row r="64" spans="1:11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176</v>
      </c>
      <c r="H64" s="7"/>
      <c r="I64" s="4"/>
      <c r="J64" s="19"/>
      <c r="K64" s="16"/>
    </row>
    <row r="65" spans="1:11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151</v>
      </c>
      <c r="H65" s="7"/>
      <c r="I65" s="4"/>
      <c r="J65" s="19"/>
      <c r="K65" s="16"/>
    </row>
    <row r="66" spans="1:11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234</v>
      </c>
      <c r="H66" s="7"/>
      <c r="I66" s="4"/>
      <c r="J66" s="19"/>
      <c r="K66" s="16"/>
    </row>
    <row r="67" spans="1:11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145</v>
      </c>
      <c r="H67" s="7"/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24" t="s">
        <v>12</v>
      </c>
      <c r="B69" s="325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299" t="s">
        <v>123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</row>
    <row r="75" spans="1:11" ht="18" customHeight="1"/>
    <row r="76" spans="1:11" ht="18" customHeight="1">
      <c r="A76" s="318" t="s">
        <v>356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19" t="s">
        <v>21</v>
      </c>
      <c r="B78" s="320"/>
      <c r="C78" s="320"/>
      <c r="D78" s="320"/>
      <c r="E78" s="321"/>
      <c r="F78" s="3"/>
      <c r="G78" s="322" t="s">
        <v>20</v>
      </c>
      <c r="H78" s="322"/>
      <c r="I78" s="322"/>
      <c r="J78" s="322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06">
        <f>SUMIF($G$8:$G$68,G79,$E$8:$E$68)</f>
        <v>293392.95</v>
      </c>
      <c r="J79" s="307"/>
      <c r="K79" s="24"/>
    </row>
    <row r="80" spans="1:11">
      <c r="A80" s="27" t="s">
        <v>149</v>
      </c>
      <c r="B80" s="63"/>
      <c r="C80" s="63"/>
      <c r="D80" s="80"/>
      <c r="E80" s="29">
        <f t="shared" si="1"/>
        <v>292800</v>
      </c>
      <c r="F80" s="3"/>
      <c r="G80" s="316" t="s">
        <v>145</v>
      </c>
      <c r="H80" s="317"/>
      <c r="I80" s="306">
        <f>SUMIF($G$8:$G$68,G80,$E$8:$E$68)</f>
        <v>321164.99</v>
      </c>
      <c r="J80" s="307"/>
      <c r="K80" s="24"/>
    </row>
    <row r="81" spans="1:13">
      <c r="A81" s="27" t="s">
        <v>174</v>
      </c>
      <c r="B81" s="63"/>
      <c r="C81" s="63"/>
      <c r="D81" s="80"/>
      <c r="E81" s="29">
        <f t="shared" si="1"/>
        <v>97813.62000000001</v>
      </c>
      <c r="F81" s="3"/>
      <c r="G81" s="316" t="s">
        <v>232</v>
      </c>
      <c r="H81" s="317"/>
      <c r="I81" s="306">
        <f>SUMIF($G$8:$G$68,G81,$E$8:$E$68)</f>
        <v>0</v>
      </c>
      <c r="J81" s="307"/>
      <c r="K81" s="24"/>
      <c r="M81" s="209" t="s">
        <v>344</v>
      </c>
    </row>
    <row r="82" spans="1:13">
      <c r="A82" s="27" t="s">
        <v>177</v>
      </c>
      <c r="B82" s="63"/>
      <c r="C82" s="63"/>
      <c r="D82" s="80"/>
      <c r="E82" s="29">
        <f t="shared" si="1"/>
        <v>944.78</v>
      </c>
      <c r="F82" s="3"/>
      <c r="G82" s="316" t="s">
        <v>234</v>
      </c>
      <c r="H82" s="317"/>
      <c r="I82" s="306">
        <f>SUMIF($G$8:$G$68,G82,$E$8:$E$68)</f>
        <v>198</v>
      </c>
      <c r="J82" s="307"/>
      <c r="K82" s="24"/>
    </row>
    <row r="83" spans="1:13">
      <c r="A83" s="27" t="s">
        <v>255</v>
      </c>
      <c r="B83" s="63"/>
      <c r="C83" s="63"/>
      <c r="D83" s="80"/>
      <c r="E83" s="29">
        <f t="shared" si="1"/>
        <v>0</v>
      </c>
      <c r="F83" s="3"/>
      <c r="G83" s="62"/>
      <c r="H83" s="26"/>
      <c r="I83" s="306">
        <f>SUMIF($G$8:$G$68,G83,$E$8:$E$68)</f>
        <v>0</v>
      </c>
      <c r="J83" s="307"/>
      <c r="K83" s="24"/>
    </row>
    <row r="84" spans="1:13">
      <c r="A84" s="27" t="s">
        <v>175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302">
        <f>SUM(I79:J83)</f>
        <v>614755.93999999994</v>
      </c>
      <c r="J84" s="303"/>
      <c r="K84" s="61">
        <f>E69-I84</f>
        <v>0</v>
      </c>
    </row>
    <row r="85" spans="1:13">
      <c r="A85" s="62" t="s">
        <v>221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25" t="s">
        <v>19</v>
      </c>
      <c r="H87" s="226"/>
      <c r="I87" s="306">
        <f>'CEF Novembro 2019'!I82:J82</f>
        <v>301545.36999999982</v>
      </c>
      <c r="J87" s="307"/>
    </row>
    <row r="88" spans="1:13">
      <c r="A88" s="27" t="s">
        <v>270</v>
      </c>
      <c r="B88" s="63"/>
      <c r="C88" s="63"/>
      <c r="D88" s="80"/>
      <c r="E88" s="29">
        <f t="shared" si="1"/>
        <v>134100.97</v>
      </c>
      <c r="F88" s="3"/>
      <c r="G88" s="27" t="s">
        <v>149</v>
      </c>
      <c r="H88" s="226"/>
      <c r="I88" s="306">
        <f>SUMIF($G$8:$G$68,G88,$D$8:$D$68)</f>
        <v>292800</v>
      </c>
      <c r="J88" s="307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16" t="s">
        <v>145</v>
      </c>
      <c r="H89" s="317"/>
      <c r="I89" s="306">
        <f>-SUMIF($G$8:$G$68,G89,$E$8:$E$68)</f>
        <v>-321164.99</v>
      </c>
      <c r="J89" s="307"/>
    </row>
    <row r="90" spans="1:13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225" t="s">
        <v>30</v>
      </c>
      <c r="H90" s="226"/>
      <c r="I90" s="306">
        <v>1146.21</v>
      </c>
      <c r="J90" s="307"/>
    </row>
    <row r="91" spans="1:13">
      <c r="A91" s="27" t="s">
        <v>282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314"/>
      <c r="J91" s="315"/>
    </row>
    <row r="92" spans="1:13">
      <c r="A92" s="27" t="s">
        <v>273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310">
        <f>SUM(I87:J90)</f>
        <v>274326.58999999991</v>
      </c>
      <c r="J92" s="311"/>
    </row>
    <row r="93" spans="1:13">
      <c r="A93" s="27" t="s">
        <v>218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224"/>
      <c r="K93" s="24"/>
    </row>
    <row r="94" spans="1:13">
      <c r="A94" s="27" t="s">
        <v>231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12"/>
      <c r="J94" s="313"/>
      <c r="K94" s="24"/>
    </row>
    <row r="95" spans="1:13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04">
        <f>'CEF Março 2019'!I88:J88</f>
        <v>0</v>
      </c>
      <c r="J95" s="305"/>
      <c r="K95" s="24"/>
    </row>
    <row r="96" spans="1:13">
      <c r="A96" s="27" t="s">
        <v>150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226"/>
      <c r="I96" s="306">
        <f>SUMIF($G$8:$G$68,G96,$E$8:$E$68)</f>
        <v>0</v>
      </c>
      <c r="J96" s="307"/>
      <c r="K96" s="24"/>
    </row>
    <row r="97" spans="1:13">
      <c r="A97" s="27" t="s">
        <v>220</v>
      </c>
      <c r="B97" s="63"/>
      <c r="C97" s="63"/>
      <c r="D97" s="80"/>
      <c r="E97" s="29">
        <f t="shared" si="1"/>
        <v>0</v>
      </c>
      <c r="F97" s="3"/>
      <c r="G97" s="225" t="s">
        <v>14</v>
      </c>
      <c r="H97" s="226"/>
      <c r="I97" s="306">
        <f>-SUMIF($G$8:$G$68,G97,$D$8:$D$68)</f>
        <v>0</v>
      </c>
      <c r="J97" s="307"/>
      <c r="K97" s="24"/>
    </row>
    <row r="98" spans="1:13">
      <c r="A98" s="27" t="s">
        <v>151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314"/>
      <c r="J98" s="315"/>
      <c r="K98" s="24"/>
    </row>
    <row r="99" spans="1:13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302">
        <f>SUM(I95:J98)</f>
        <v>0</v>
      </c>
      <c r="J99" s="303"/>
      <c r="K99" s="24"/>
    </row>
    <row r="100" spans="1:13">
      <c r="A100" s="27" t="s">
        <v>176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224"/>
      <c r="K100" s="24"/>
    </row>
    <row r="101" spans="1:13">
      <c r="A101" s="27" t="s">
        <v>272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225" t="s">
        <v>19</v>
      </c>
      <c r="H102" s="226"/>
      <c r="I102" s="308">
        <f>'CEF Novembro 2019'!I96:J96</f>
        <v>62677.369999999588</v>
      </c>
      <c r="J102" s="309"/>
      <c r="K102" s="24"/>
    </row>
    <row r="103" spans="1:13">
      <c r="A103" s="27" t="s">
        <v>274</v>
      </c>
      <c r="B103" s="63"/>
      <c r="C103" s="63"/>
      <c r="D103" s="80"/>
      <c r="E103" s="29">
        <f t="shared" si="1"/>
        <v>0</v>
      </c>
      <c r="F103" s="3"/>
      <c r="G103" s="225" t="s">
        <v>357</v>
      </c>
      <c r="H103" s="226"/>
      <c r="I103" s="291">
        <f>249997.75+16000+16408.72+10986.48</f>
        <v>293392.94999999995</v>
      </c>
      <c r="J103" s="292"/>
      <c r="K103" s="24"/>
    </row>
    <row r="104" spans="1:13">
      <c r="A104" s="27" t="s">
        <v>179</v>
      </c>
      <c r="B104" s="63"/>
      <c r="C104" s="63"/>
      <c r="D104" s="80"/>
      <c r="E104" s="29">
        <f t="shared" si="1"/>
        <v>5251</v>
      </c>
      <c r="F104" s="3"/>
      <c r="G104" s="225" t="s">
        <v>147</v>
      </c>
      <c r="H104" s="226"/>
      <c r="I104" s="306">
        <f>-SUMIF($G$8:$G$68,G104,$E$8:$E$68)</f>
        <v>-293392.95</v>
      </c>
      <c r="J104" s="307"/>
      <c r="K104" s="24"/>
    </row>
    <row r="105" spans="1:13">
      <c r="A105" s="27" t="s">
        <v>146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00"/>
      <c r="J105" s="301"/>
      <c r="K105" s="24"/>
    </row>
    <row r="106" spans="1:13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10">
        <f>SUM(I102:J105)</f>
        <v>62677.36999999953</v>
      </c>
      <c r="J106" s="311"/>
      <c r="K106" s="24"/>
      <c r="M106" s="39"/>
    </row>
    <row r="107" spans="1:13">
      <c r="A107" s="27" t="s">
        <v>178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307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304">
        <f>'CEF Novembro 2019'!I103:J103</f>
        <v>20581.510000000017</v>
      </c>
      <c r="J109" s="305"/>
      <c r="K109" s="24"/>
    </row>
    <row r="110" spans="1:13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354</v>
      </c>
      <c r="H110" s="41"/>
      <c r="I110" s="306">
        <v>21190.51</v>
      </c>
      <c r="J110" s="307"/>
      <c r="K110" s="24"/>
    </row>
    <row r="111" spans="1:13">
      <c r="A111" s="27" t="s">
        <v>331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06"/>
      <c r="J111" s="307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00">
        <f>-SUMIF($G$8:$G$68,G112,$D$8:$D$68)</f>
        <v>-20581.510000000002</v>
      </c>
      <c r="J112" s="301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02">
        <f>SUM(I109:J112)</f>
        <v>21190.510000000017</v>
      </c>
      <c r="J113" s="303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24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355</v>
      </c>
      <c r="H116" s="226"/>
      <c r="I116" s="291">
        <v>31277.82</v>
      </c>
      <c r="J116" s="292"/>
      <c r="K116" s="24"/>
    </row>
    <row r="117" spans="1:11">
      <c r="A117" s="297" t="s">
        <v>22</v>
      </c>
      <c r="B117" s="298"/>
      <c r="C117" s="298"/>
      <c r="D117" s="81"/>
      <c r="E117" s="35">
        <f>SUM(E79:E115)</f>
        <v>614755.93999999994</v>
      </c>
      <c r="F117" s="3"/>
      <c r="G117" s="27"/>
      <c r="H117" s="226"/>
      <c r="I117" s="291"/>
      <c r="J117" s="292"/>
      <c r="K117" s="24"/>
    </row>
    <row r="118" spans="1:11">
      <c r="E118" s="46">
        <f>D69-E117</f>
        <v>0</v>
      </c>
      <c r="F118" s="3"/>
      <c r="G118" s="27"/>
      <c r="H118" s="41"/>
      <c r="I118" s="295"/>
      <c r="J118" s="296"/>
      <c r="K118" s="24"/>
    </row>
    <row r="119" spans="1:11">
      <c r="F119" s="3"/>
      <c r="G119" s="89" t="s">
        <v>18</v>
      </c>
      <c r="H119" s="88"/>
      <c r="I119" s="302">
        <f>SUM(I116:J118)</f>
        <v>31277.82</v>
      </c>
      <c r="J119" s="303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6">
    <mergeCell ref="A74:K74"/>
    <mergeCell ref="A2:K2"/>
    <mergeCell ref="A4:K4"/>
    <mergeCell ref="A6:F6"/>
    <mergeCell ref="G6:K6"/>
    <mergeCell ref="A69:B69"/>
    <mergeCell ref="A76:K76"/>
    <mergeCell ref="A78:E78"/>
    <mergeCell ref="G78:J78"/>
    <mergeCell ref="I79:J79"/>
    <mergeCell ref="G80:H80"/>
    <mergeCell ref="I80:J80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301545.37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1146.21</v>
      </c>
      <c r="C4" s="41"/>
      <c r="D4" s="144"/>
      <c r="E4" s="41"/>
      <c r="F4" s="41"/>
    </row>
    <row r="5" spans="1:6" ht="15.75" thickBot="1">
      <c r="A5" s="177"/>
      <c r="B5" s="129">
        <v>198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596282.53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144798.63</v>
      </c>
      <c r="C11" s="115">
        <f>944.78+12750+12440.52+134100.97+12784.71+3306.89+441.6+13211.82+718.24+5251</f>
        <v>195950.53000000003</v>
      </c>
      <c r="D11" s="115"/>
      <c r="E11" s="166">
        <f t="shared" ref="E11:E27" si="0">C11+D11</f>
        <v>195950.53000000003</v>
      </c>
      <c r="F11" s="134">
        <f>12478.6+87946.1+13360.5+5219.45+299092.45+10478.99+1035.63+3591.06+1296.55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107035.48</f>
        <v>107035.48</v>
      </c>
      <c r="C17" s="115">
        <f>97813.62+781.8+1873.9+2423.58+2352</f>
        <v>105244.9</v>
      </c>
      <c r="D17" s="115"/>
      <c r="E17" s="166">
        <f t="shared" si="0"/>
        <v>105244.9</v>
      </c>
      <c r="F17" s="134">
        <f>2228.28+1787.3+118035.48</f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179</v>
      </c>
      <c r="C25" s="151"/>
      <c r="D25" s="115">
        <v>179</v>
      </c>
      <c r="E25" s="166">
        <f t="shared" si="0"/>
        <v>179</v>
      </c>
      <c r="F25" s="115"/>
    </row>
    <row r="26" spans="1:10" ht="24.95" customHeight="1" thickBot="1">
      <c r="A26" s="114" t="s">
        <v>196</v>
      </c>
      <c r="B26" s="111">
        <v>21190.51</v>
      </c>
      <c r="C26" s="151">
        <v>20581.509999999998</v>
      </c>
      <c r="D26" s="111"/>
      <c r="E26" s="166">
        <f t="shared" si="0"/>
        <v>20581.509999999998</v>
      </c>
      <c r="F26" s="115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273203.62</v>
      </c>
      <c r="C28" s="152">
        <f>SUM(C11:C27)</f>
        <v>321776.94000000006</v>
      </c>
      <c r="D28" s="152">
        <f>SUM(D11:D27)</f>
        <v>179</v>
      </c>
      <c r="E28" s="152">
        <f>SUM(E11:E27)</f>
        <v>321955.94000000006</v>
      </c>
      <c r="F28" s="152">
        <f>SUM(F11:F27)</f>
        <v>577740.9</v>
      </c>
      <c r="H28" s="46">
        <f>1400701.29-822960.39</f>
        <v>577740.9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292800</v>
      </c>
      <c r="G32" s="209" t="s">
        <v>193</v>
      </c>
    </row>
    <row r="33" spans="1:7">
      <c r="A33" s="27" t="s">
        <v>174</v>
      </c>
      <c r="B33" s="221"/>
      <c r="C33" s="200"/>
      <c r="D33" s="201"/>
      <c r="E33" s="182">
        <v>97813.62000000001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944.78</v>
      </c>
      <c r="F34" s="209" t="s">
        <v>193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27"/>
      <c r="D38" s="228"/>
      <c r="E38" s="182">
        <v>12440.52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27"/>
      <c r="D40" s="228"/>
      <c r="E40" s="182">
        <v>134100.97</v>
      </c>
      <c r="F40" s="209" t="s">
        <v>193</v>
      </c>
    </row>
    <row r="41" spans="1:7">
      <c r="A41" s="27" t="s">
        <v>219</v>
      </c>
      <c r="B41" s="223"/>
      <c r="C41" s="227"/>
      <c r="D41" s="228"/>
      <c r="E41" s="182">
        <v>0</v>
      </c>
    </row>
    <row r="42" spans="1:7">
      <c r="A42" s="27" t="s">
        <v>29</v>
      </c>
      <c r="B42" s="223"/>
      <c r="C42" s="227"/>
      <c r="D42" s="228"/>
      <c r="E42" s="182">
        <v>12784.710000000001</v>
      </c>
      <c r="F42" s="209" t="s">
        <v>193</v>
      </c>
    </row>
    <row r="43" spans="1:7">
      <c r="A43" s="27" t="s">
        <v>282</v>
      </c>
      <c r="B43" s="223"/>
      <c r="C43" s="227"/>
      <c r="D43" s="228"/>
      <c r="E43" s="182">
        <v>3306.89</v>
      </c>
      <c r="F43" s="209" t="s">
        <v>193</v>
      </c>
    </row>
    <row r="44" spans="1:7">
      <c r="A44" s="27" t="s">
        <v>273</v>
      </c>
      <c r="B44" s="223"/>
      <c r="C44" s="227"/>
      <c r="D44" s="228"/>
      <c r="E44" s="182">
        <v>781.80000000000007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1873.9</v>
      </c>
      <c r="F45" s="209" t="s">
        <v>193</v>
      </c>
      <c r="G45" s="46"/>
    </row>
    <row r="46" spans="1:7">
      <c r="A46" s="27" t="s">
        <v>231</v>
      </c>
      <c r="B46" s="223"/>
      <c r="C46" s="227"/>
      <c r="D46" s="228"/>
      <c r="E46" s="182">
        <v>0</v>
      </c>
    </row>
    <row r="47" spans="1:7">
      <c r="A47" s="27" t="s">
        <v>28</v>
      </c>
      <c r="B47" s="223"/>
      <c r="C47" s="227"/>
      <c r="D47" s="228"/>
      <c r="E47" s="182">
        <v>0</v>
      </c>
    </row>
    <row r="48" spans="1:7">
      <c r="A48" s="27" t="s">
        <v>150</v>
      </c>
      <c r="B48" s="223"/>
      <c r="C48" s="227"/>
      <c r="D48" s="228"/>
      <c r="E48" s="182">
        <v>441.6</v>
      </c>
      <c r="F48" s="209" t="s">
        <v>193</v>
      </c>
    </row>
    <row r="49" spans="1:6">
      <c r="A49" s="27" t="s">
        <v>220</v>
      </c>
      <c r="B49" s="223"/>
      <c r="C49" s="227"/>
      <c r="D49" s="228"/>
      <c r="E49" s="182">
        <v>0</v>
      </c>
    </row>
    <row r="50" spans="1:6">
      <c r="A50" s="27" t="s">
        <v>151</v>
      </c>
      <c r="B50" s="223"/>
      <c r="C50" s="227"/>
      <c r="D50" s="228"/>
      <c r="E50" s="182">
        <v>13211.82</v>
      </c>
      <c r="F50" s="209" t="s">
        <v>193</v>
      </c>
    </row>
    <row r="51" spans="1:6">
      <c r="A51" s="27" t="s">
        <v>49</v>
      </c>
      <c r="B51" s="223"/>
      <c r="C51" s="227"/>
      <c r="D51" s="228"/>
      <c r="E51" s="182">
        <v>0</v>
      </c>
    </row>
    <row r="52" spans="1:6">
      <c r="A52" s="27" t="s">
        <v>176</v>
      </c>
      <c r="B52" s="223"/>
      <c r="C52" s="227"/>
      <c r="D52" s="228"/>
      <c r="E52" s="182">
        <v>20581.510000000002</v>
      </c>
      <c r="F52" s="209" t="s">
        <v>193</v>
      </c>
    </row>
    <row r="53" spans="1:6">
      <c r="A53" s="27" t="s">
        <v>272</v>
      </c>
      <c r="B53" s="223"/>
      <c r="C53" s="227"/>
      <c r="D53" s="228"/>
      <c r="E53" s="182">
        <v>718.24</v>
      </c>
      <c r="F53" s="209" t="s">
        <v>193</v>
      </c>
    </row>
    <row r="54" spans="1:6">
      <c r="A54" s="27" t="s">
        <v>43</v>
      </c>
      <c r="B54" s="223"/>
      <c r="C54" s="227"/>
      <c r="D54" s="228"/>
      <c r="E54" s="182">
        <v>2423.58</v>
      </c>
      <c r="F54" s="209" t="s">
        <v>193</v>
      </c>
    </row>
    <row r="55" spans="1:6">
      <c r="A55" s="27" t="s">
        <v>274</v>
      </c>
      <c r="B55" s="223"/>
      <c r="C55" s="227"/>
      <c r="D55" s="228"/>
      <c r="E55" s="182">
        <v>0</v>
      </c>
    </row>
    <row r="56" spans="1:6">
      <c r="A56" s="27" t="s">
        <v>179</v>
      </c>
      <c r="B56" s="223"/>
      <c r="C56" s="227"/>
      <c r="D56" s="228"/>
      <c r="E56" s="182">
        <v>5251</v>
      </c>
      <c r="F56" s="209" t="s">
        <v>193</v>
      </c>
    </row>
    <row r="57" spans="1:6">
      <c r="A57" s="27" t="s">
        <v>146</v>
      </c>
      <c r="B57" s="223"/>
      <c r="C57" s="227"/>
      <c r="D57" s="228"/>
      <c r="E57" s="182">
        <v>0</v>
      </c>
    </row>
    <row r="58" spans="1:6">
      <c r="A58" s="27" t="s">
        <v>34</v>
      </c>
      <c r="B58" s="223"/>
      <c r="C58" s="227"/>
      <c r="D58" s="228"/>
      <c r="E58" s="182">
        <v>0</v>
      </c>
    </row>
    <row r="59" spans="1:6">
      <c r="A59" s="27" t="s">
        <v>178</v>
      </c>
      <c r="B59" s="223"/>
      <c r="C59" s="227"/>
      <c r="D59" s="228"/>
      <c r="E59" s="182">
        <v>2352</v>
      </c>
      <c r="F59" s="209" t="s">
        <v>193</v>
      </c>
    </row>
    <row r="60" spans="1:6">
      <c r="A60" s="27" t="s">
        <v>72</v>
      </c>
      <c r="B60" s="223"/>
      <c r="C60" s="227"/>
      <c r="D60" s="228"/>
      <c r="E60" s="182">
        <v>179</v>
      </c>
      <c r="F60" s="209" t="s">
        <v>193</v>
      </c>
    </row>
    <row r="61" spans="1:6">
      <c r="A61" s="27" t="s">
        <v>307</v>
      </c>
      <c r="B61" s="223"/>
      <c r="C61" s="227"/>
      <c r="D61" s="228"/>
      <c r="E61" s="182">
        <v>0</v>
      </c>
    </row>
    <row r="62" spans="1:6">
      <c r="A62" s="27" t="s">
        <v>120</v>
      </c>
      <c r="B62" s="223"/>
      <c r="C62" s="227"/>
      <c r="D62" s="228"/>
      <c r="E62" s="182">
        <v>0</v>
      </c>
    </row>
    <row r="63" spans="1:6">
      <c r="A63" s="27" t="s">
        <v>331</v>
      </c>
      <c r="B63" s="223"/>
      <c r="C63" s="227"/>
      <c r="D63" s="228"/>
      <c r="E63" s="182">
        <v>0</v>
      </c>
    </row>
    <row r="64" spans="1:6">
      <c r="A64" s="27"/>
      <c r="B64" s="220"/>
      <c r="C64" s="227"/>
      <c r="D64" s="228"/>
      <c r="E64" s="183"/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321955.94000000006</v>
      </c>
    </row>
    <row r="68" spans="1:6" ht="15.75" thickBot="1">
      <c r="E68" s="46">
        <f>E66-E7</f>
        <v>321955.94000000006</v>
      </c>
    </row>
    <row r="69" spans="1:6" ht="23.25" thickBot="1">
      <c r="A69" s="154" t="s">
        <v>258</v>
      </c>
      <c r="B69" s="95">
        <f>B7</f>
        <v>596282.53</v>
      </c>
    </row>
    <row r="70" spans="1:6" ht="23.25" thickBot="1">
      <c r="A70" s="155" t="s">
        <v>259</v>
      </c>
      <c r="B70" s="98">
        <f>E66</f>
        <v>321955.94000000006</v>
      </c>
    </row>
    <row r="71" spans="1:6" ht="23.25" thickBot="1">
      <c r="A71" s="155" t="s">
        <v>260</v>
      </c>
      <c r="B71" s="98">
        <f>B69-B70</f>
        <v>274326.58999999997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274326.58999999997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164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145</v>
      </c>
      <c r="H10" s="7"/>
      <c r="I10" s="4"/>
      <c r="J10" s="19"/>
      <c r="K10" s="16"/>
    </row>
    <row r="11" spans="1:11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146</v>
      </c>
      <c r="H11" s="7" t="s">
        <v>152</v>
      </c>
      <c r="I11" s="4">
        <v>3760</v>
      </c>
      <c r="J11" s="19">
        <v>1</v>
      </c>
      <c r="K11" s="16">
        <v>43193</v>
      </c>
    </row>
    <row r="12" spans="1:11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148</v>
      </c>
      <c r="H15" s="7" t="s">
        <v>113</v>
      </c>
      <c r="I15" s="4"/>
      <c r="J15" s="19"/>
      <c r="K15" s="16"/>
    </row>
    <row r="16" spans="1:11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148</v>
      </c>
      <c r="H16" s="7" t="s">
        <v>82</v>
      </c>
      <c r="I16" s="4"/>
      <c r="J16" s="19"/>
      <c r="K16" s="16"/>
    </row>
    <row r="17" spans="1:11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148</v>
      </c>
      <c r="H17" s="7" t="s">
        <v>89</v>
      </c>
      <c r="I17" s="4"/>
      <c r="J17" s="19"/>
      <c r="K17" s="16"/>
    </row>
    <row r="18" spans="1:11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148</v>
      </c>
      <c r="H18" s="7" t="s">
        <v>79</v>
      </c>
      <c r="I18" s="4"/>
      <c r="J18" s="19"/>
      <c r="K18" s="16"/>
    </row>
    <row r="19" spans="1:11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148</v>
      </c>
      <c r="H19" s="7" t="s">
        <v>103</v>
      </c>
      <c r="I19" s="4"/>
      <c r="J19" s="19"/>
      <c r="K19" s="16"/>
    </row>
    <row r="20" spans="1:11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148</v>
      </c>
      <c r="H20" s="7" t="s">
        <v>114</v>
      </c>
      <c r="I20" s="4"/>
      <c r="J20" s="19"/>
      <c r="K20" s="16"/>
    </row>
    <row r="21" spans="1:11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148</v>
      </c>
      <c r="H21" s="7" t="s">
        <v>130</v>
      </c>
      <c r="I21" s="4"/>
      <c r="J21" s="19"/>
      <c r="K21" s="16"/>
    </row>
    <row r="22" spans="1:11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148</v>
      </c>
      <c r="H22" s="7" t="s">
        <v>91</v>
      </c>
      <c r="I22" s="4"/>
      <c r="J22" s="19"/>
      <c r="K22" s="16"/>
    </row>
    <row r="23" spans="1:11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148</v>
      </c>
      <c r="H23" s="7" t="s">
        <v>84</v>
      </c>
      <c r="I23" s="4"/>
      <c r="J23" s="19"/>
      <c r="K23" s="16"/>
    </row>
    <row r="24" spans="1:11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148</v>
      </c>
      <c r="H24" s="7" t="s">
        <v>101</v>
      </c>
      <c r="I24" s="4"/>
      <c r="J24" s="19"/>
      <c r="K24" s="16"/>
    </row>
    <row r="25" spans="1:11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148</v>
      </c>
      <c r="H25" s="7" t="s">
        <v>106</v>
      </c>
      <c r="I25" s="4"/>
      <c r="J25" s="19"/>
      <c r="K25" s="16"/>
    </row>
    <row r="26" spans="1:11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148</v>
      </c>
      <c r="H26" s="7" t="s">
        <v>93</v>
      </c>
      <c r="I26" s="4"/>
      <c r="J26" s="19"/>
      <c r="K26" s="16"/>
    </row>
    <row r="27" spans="1:11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148</v>
      </c>
      <c r="H27" s="7" t="s">
        <v>153</v>
      </c>
      <c r="I27" s="4"/>
      <c r="J27" s="19"/>
      <c r="K27" s="16"/>
    </row>
    <row r="28" spans="1:11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148</v>
      </c>
      <c r="H28" s="7" t="s">
        <v>104</v>
      </c>
      <c r="I28" s="4"/>
      <c r="J28" s="19"/>
      <c r="K28" s="16"/>
    </row>
    <row r="29" spans="1:11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148</v>
      </c>
      <c r="H29" s="7" t="s">
        <v>154</v>
      </c>
      <c r="I29" s="4"/>
      <c r="J29" s="19"/>
      <c r="K29" s="16"/>
    </row>
    <row r="30" spans="1:11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148</v>
      </c>
      <c r="H30" s="7" t="s">
        <v>77</v>
      </c>
      <c r="I30" s="4"/>
      <c r="J30" s="19"/>
      <c r="K30" s="16"/>
    </row>
    <row r="31" spans="1:11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148</v>
      </c>
      <c r="H31" s="7" t="s">
        <v>109</v>
      </c>
      <c r="I31" s="4"/>
      <c r="J31" s="19"/>
      <c r="K31" s="16"/>
    </row>
    <row r="32" spans="1:11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148</v>
      </c>
      <c r="H32" s="7" t="s">
        <v>129</v>
      </c>
      <c r="I32" s="4"/>
      <c r="J32" s="19"/>
      <c r="K32" s="16"/>
    </row>
    <row r="33" spans="1:11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148</v>
      </c>
      <c r="H33" s="7" t="s">
        <v>155</v>
      </c>
      <c r="I33" s="4"/>
      <c r="J33" s="19"/>
      <c r="K33" s="16"/>
    </row>
    <row r="34" spans="1:11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148</v>
      </c>
      <c r="H34" s="7" t="s">
        <v>92</v>
      </c>
      <c r="I34" s="4"/>
      <c r="J34" s="19"/>
      <c r="K34" s="16"/>
    </row>
    <row r="35" spans="1:11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148</v>
      </c>
      <c r="H35" s="7" t="s">
        <v>95</v>
      </c>
      <c r="I35" s="4"/>
      <c r="J35" s="19"/>
      <c r="K35" s="16"/>
    </row>
    <row r="36" spans="1:11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148</v>
      </c>
      <c r="H36" s="7" t="s">
        <v>88</v>
      </c>
      <c r="I36" s="4"/>
      <c r="J36" s="19"/>
      <c r="K36" s="16"/>
    </row>
    <row r="37" spans="1:11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148</v>
      </c>
      <c r="H37" s="7" t="s">
        <v>86</v>
      </c>
      <c r="I37" s="4"/>
      <c r="J37" s="19"/>
      <c r="K37" s="16"/>
    </row>
    <row r="38" spans="1:11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148</v>
      </c>
      <c r="H38" s="7" t="s">
        <v>102</v>
      </c>
      <c r="I38" s="4"/>
      <c r="J38" s="19"/>
      <c r="K38" s="16"/>
    </row>
    <row r="39" spans="1:11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148</v>
      </c>
      <c r="H39" s="7" t="s">
        <v>90</v>
      </c>
      <c r="I39" s="4"/>
      <c r="J39" s="19"/>
      <c r="K39" s="16"/>
    </row>
    <row r="40" spans="1:11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148</v>
      </c>
      <c r="H40" s="7" t="s">
        <v>85</v>
      </c>
      <c r="I40" s="4"/>
      <c r="J40" s="19"/>
      <c r="K40" s="16"/>
    </row>
    <row r="41" spans="1:11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148</v>
      </c>
      <c r="H41" s="7" t="s">
        <v>81</v>
      </c>
      <c r="I41" s="4"/>
      <c r="J41" s="19"/>
      <c r="K41" s="16"/>
    </row>
    <row r="42" spans="1:11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148</v>
      </c>
      <c r="H42" s="7" t="s">
        <v>107</v>
      </c>
      <c r="I42" s="4"/>
      <c r="J42" s="19"/>
      <c r="K42" s="16"/>
    </row>
    <row r="43" spans="1:11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148</v>
      </c>
      <c r="H43" s="7" t="s">
        <v>96</v>
      </c>
      <c r="I43" s="4"/>
      <c r="J43" s="19"/>
      <c r="K43" s="16"/>
    </row>
    <row r="44" spans="1:11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148</v>
      </c>
      <c r="H44" s="7" t="s">
        <v>156</v>
      </c>
      <c r="I44" s="4"/>
      <c r="J44" s="19"/>
      <c r="K44" s="16"/>
    </row>
    <row r="45" spans="1:11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148</v>
      </c>
      <c r="H45" s="7" t="s">
        <v>94</v>
      </c>
      <c r="I45" s="4"/>
      <c r="J45" s="19"/>
      <c r="K45" s="16"/>
    </row>
    <row r="46" spans="1:11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145</v>
      </c>
      <c r="H46" s="7"/>
      <c r="I46" s="4"/>
      <c r="J46" s="19"/>
      <c r="K46" s="16"/>
    </row>
    <row r="47" spans="1:11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149</v>
      </c>
      <c r="H47" s="7"/>
      <c r="I47" s="4"/>
      <c r="J47" s="19"/>
      <c r="K47" s="16"/>
    </row>
    <row r="48" spans="1:11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148</v>
      </c>
      <c r="H48" s="7" t="s">
        <v>99</v>
      </c>
      <c r="I48" s="4"/>
      <c r="J48" s="19"/>
      <c r="K48" s="16"/>
    </row>
    <row r="49" spans="1:11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148</v>
      </c>
      <c r="H49" s="7" t="s">
        <v>83</v>
      </c>
      <c r="I49" s="4"/>
      <c r="J49" s="19"/>
      <c r="K49" s="16"/>
    </row>
    <row r="50" spans="1:11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148</v>
      </c>
      <c r="H50" s="7" t="s">
        <v>157</v>
      </c>
      <c r="I50" s="4"/>
      <c r="J50" s="19"/>
      <c r="K50" s="16"/>
    </row>
    <row r="51" spans="1:11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148</v>
      </c>
      <c r="H51" s="7" t="s">
        <v>158</v>
      </c>
      <c r="I51" s="4"/>
      <c r="J51" s="19"/>
      <c r="K51" s="16"/>
    </row>
    <row r="52" spans="1:11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148</v>
      </c>
      <c r="H52" s="7" t="s">
        <v>115</v>
      </c>
      <c r="I52" s="4"/>
      <c r="J52" s="19"/>
      <c r="K52" s="16"/>
    </row>
    <row r="53" spans="1:11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148</v>
      </c>
      <c r="H53" s="7" t="s">
        <v>111</v>
      </c>
      <c r="I53" s="4"/>
      <c r="J53" s="19"/>
      <c r="K53" s="16"/>
    </row>
    <row r="54" spans="1:11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145</v>
      </c>
      <c r="H54" s="7"/>
      <c r="I54" s="4"/>
      <c r="J54" s="19"/>
      <c r="K54" s="16"/>
    </row>
    <row r="55" spans="1:11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148</v>
      </c>
      <c r="H55" s="7" t="s">
        <v>87</v>
      </c>
      <c r="I55" s="4"/>
      <c r="J55" s="19"/>
      <c r="K55" s="16"/>
    </row>
    <row r="56" spans="1:11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145</v>
      </c>
      <c r="H56" s="7"/>
      <c r="I56" s="4"/>
      <c r="J56" s="19"/>
      <c r="K56" s="16"/>
    </row>
    <row r="57" spans="1:11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148</v>
      </c>
      <c r="H57" s="7" t="s">
        <v>159</v>
      </c>
      <c r="I57" s="4"/>
      <c r="J57" s="19"/>
      <c r="K57" s="16"/>
    </row>
    <row r="58" spans="1:11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148</v>
      </c>
      <c r="H58" s="7" t="s">
        <v>117</v>
      </c>
      <c r="I58" s="4"/>
      <c r="J58" s="19"/>
      <c r="K58" s="16"/>
    </row>
    <row r="59" spans="1:11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145</v>
      </c>
      <c r="H59" s="7"/>
      <c r="I59" s="4"/>
      <c r="J59" s="19"/>
      <c r="K59" s="16"/>
    </row>
    <row r="60" spans="1:11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148</v>
      </c>
      <c r="H60" s="7" t="s">
        <v>118</v>
      </c>
      <c r="I60" s="4"/>
      <c r="J60" s="19"/>
      <c r="K60" s="16"/>
    </row>
    <row r="61" spans="1:11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148</v>
      </c>
      <c r="H61" s="7" t="s">
        <v>78</v>
      </c>
      <c r="I61" s="4"/>
      <c r="J61" s="19"/>
      <c r="K61" s="16"/>
    </row>
    <row r="62" spans="1:11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148</v>
      </c>
      <c r="H62" s="7" t="s">
        <v>98</v>
      </c>
      <c r="I62" s="4"/>
      <c r="J62" s="19"/>
      <c r="K62" s="16"/>
    </row>
    <row r="63" spans="1:11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145</v>
      </c>
      <c r="H65" s="7"/>
      <c r="I65" s="4"/>
      <c r="J65" s="19"/>
      <c r="K65" s="16"/>
    </row>
    <row r="66" spans="1:11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146</v>
      </c>
      <c r="H69" s="7" t="s">
        <v>61</v>
      </c>
      <c r="I69" s="4">
        <v>7</v>
      </c>
      <c r="J69" s="19">
        <v>3</v>
      </c>
      <c r="K69" s="16">
        <v>43264</v>
      </c>
    </row>
    <row r="70" spans="1:11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146</v>
      </c>
      <c r="H70" s="7" t="s">
        <v>127</v>
      </c>
      <c r="I70" s="4">
        <v>42</v>
      </c>
      <c r="J70" s="19">
        <v>3</v>
      </c>
      <c r="K70" s="16">
        <v>43269</v>
      </c>
    </row>
    <row r="71" spans="1:11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146</v>
      </c>
      <c r="H71" s="7" t="s">
        <v>119</v>
      </c>
      <c r="I71" s="4">
        <v>5</v>
      </c>
      <c r="J71" s="19">
        <v>3</v>
      </c>
      <c r="K71" s="16">
        <v>43266</v>
      </c>
    </row>
    <row r="72" spans="1:11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146</v>
      </c>
      <c r="H72" s="7" t="s">
        <v>128</v>
      </c>
      <c r="I72" s="4">
        <v>10</v>
      </c>
      <c r="J72" s="19">
        <v>3</v>
      </c>
      <c r="K72" s="16">
        <v>43269</v>
      </c>
    </row>
    <row r="73" spans="1:11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160</v>
      </c>
      <c r="I74" s="4">
        <v>29</v>
      </c>
      <c r="J74" s="19">
        <v>1</v>
      </c>
      <c r="K74" s="16"/>
    </row>
    <row r="75" spans="1:11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150</v>
      </c>
      <c r="H79" s="7" t="s">
        <v>161</v>
      </c>
      <c r="I79" s="4">
        <v>1169101</v>
      </c>
      <c r="J79" s="19">
        <v>1</v>
      </c>
      <c r="K79" s="16"/>
    </row>
    <row r="80" spans="1:11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145</v>
      </c>
      <c r="H80" s="7"/>
      <c r="I80" s="4"/>
      <c r="J80" s="19"/>
      <c r="K80" s="16"/>
    </row>
    <row r="81" spans="1:11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145</v>
      </c>
      <c r="H81" s="7"/>
      <c r="I81" s="4"/>
      <c r="J81" s="19"/>
      <c r="K81" s="16"/>
    </row>
    <row r="82" spans="1:11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151</v>
      </c>
      <c r="H83" s="7"/>
      <c r="I83" s="4"/>
      <c r="J83" s="19"/>
      <c r="K83" s="16"/>
    </row>
    <row r="84" spans="1:11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145</v>
      </c>
      <c r="H84" s="7"/>
      <c r="I84" s="4"/>
      <c r="J84" s="19"/>
      <c r="K84" s="16"/>
    </row>
    <row r="85" spans="1:11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>
      <c r="A88" s="324" t="s">
        <v>12</v>
      </c>
      <c r="B88" s="325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>
      <c r="A93" s="299" t="s">
        <v>123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</row>
    <row r="94" spans="1:11" ht="18" customHeight="1"/>
    <row r="95" spans="1:11" ht="18" customHeight="1">
      <c r="A95" s="318" t="s">
        <v>165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</row>
    <row r="96" spans="1:11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>
      <c r="A97" s="319" t="s">
        <v>21</v>
      </c>
      <c r="B97" s="320"/>
      <c r="C97" s="320"/>
      <c r="D97" s="320"/>
      <c r="E97" s="321"/>
      <c r="F97" s="3"/>
      <c r="G97" s="322" t="s">
        <v>20</v>
      </c>
      <c r="H97" s="322"/>
      <c r="I97" s="322"/>
      <c r="J97" s="322"/>
      <c r="K97" s="24"/>
    </row>
    <row r="98" spans="1:11">
      <c r="A98" s="28" t="s">
        <v>149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147</v>
      </c>
      <c r="H98" s="26"/>
      <c r="I98" s="306">
        <f>SUMIF($G$8:$G$87,G98,$E$8:$E$87)</f>
        <v>249997.75</v>
      </c>
      <c r="J98" s="307"/>
      <c r="K98" s="24"/>
    </row>
    <row r="99" spans="1:11">
      <c r="A99" s="27" t="s">
        <v>136</v>
      </c>
      <c r="B99" s="63"/>
      <c r="C99" s="63"/>
      <c r="D99" s="80"/>
      <c r="E99" s="29">
        <f t="shared" si="2"/>
        <v>0</v>
      </c>
      <c r="F99" s="3"/>
      <c r="G99" s="316" t="s">
        <v>145</v>
      </c>
      <c r="H99" s="317"/>
      <c r="I99" s="306">
        <f>SUMIF($G$8:$G$87,G99,$E$8:$E$87)</f>
        <v>125421.34</v>
      </c>
      <c r="J99" s="307"/>
      <c r="K99" s="24"/>
    </row>
    <row r="100" spans="1:11">
      <c r="A100" s="27" t="s">
        <v>25</v>
      </c>
      <c r="B100" s="63"/>
      <c r="C100" s="63"/>
      <c r="D100" s="80"/>
      <c r="E100" s="29">
        <f t="shared" si="2"/>
        <v>0</v>
      </c>
      <c r="F100" s="3"/>
      <c r="G100" s="316" t="s">
        <v>121</v>
      </c>
      <c r="H100" s="317"/>
      <c r="I100" s="306">
        <f>SUMIF($G$8:$G$87,G100,$E$8:$E$87)</f>
        <v>0</v>
      </c>
      <c r="J100" s="307"/>
      <c r="K100" s="24"/>
    </row>
    <row r="101" spans="1:11">
      <c r="A101" s="27" t="s">
        <v>148</v>
      </c>
      <c r="B101" s="63"/>
      <c r="C101" s="63"/>
      <c r="D101" s="80"/>
      <c r="E101" s="29">
        <f t="shared" si="2"/>
        <v>85437.920000000027</v>
      </c>
      <c r="F101" s="3"/>
      <c r="G101" s="316" t="s">
        <v>137</v>
      </c>
      <c r="H101" s="317"/>
      <c r="I101" s="306">
        <f>SUMIF($G$8:$G$87,G101,$E$8:$E$87)</f>
        <v>0</v>
      </c>
      <c r="J101" s="307"/>
      <c r="K101" s="24"/>
    </row>
    <row r="102" spans="1:11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306">
        <f>SUMIF($G$8:$G$87,G102,$E$8:$E$87)</f>
        <v>0</v>
      </c>
      <c r="J102" s="307"/>
      <c r="K102" s="24"/>
    </row>
    <row r="103" spans="1:11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302">
        <f>SUM(I98:J102)</f>
        <v>375419.08999999997</v>
      </c>
      <c r="J103" s="303"/>
      <c r="K103" s="61">
        <f>E88-I103</f>
        <v>0</v>
      </c>
    </row>
    <row r="104" spans="1:11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>
      <c r="A105" s="27" t="s">
        <v>150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>
      <c r="A106" s="27" t="s">
        <v>50</v>
      </c>
      <c r="B106" s="63"/>
      <c r="C106" s="63"/>
      <c r="D106" s="80"/>
      <c r="E106" s="29">
        <f t="shared" si="2"/>
        <v>0</v>
      </c>
      <c r="F106" s="3"/>
      <c r="G106" s="100" t="s">
        <v>19</v>
      </c>
      <c r="H106" s="101"/>
      <c r="I106" s="306">
        <f>'CEF Maio 2018'!I128:J128</f>
        <v>76167.39</v>
      </c>
      <c r="J106" s="307"/>
    </row>
    <row r="107" spans="1:11">
      <c r="A107" s="27" t="s">
        <v>151</v>
      </c>
      <c r="B107" s="63"/>
      <c r="C107" s="63"/>
      <c r="D107" s="80"/>
      <c r="E107" s="29">
        <f t="shared" si="2"/>
        <v>8452.4699999999993</v>
      </c>
      <c r="F107" s="3"/>
      <c r="G107" s="27" t="s">
        <v>149</v>
      </c>
      <c r="H107" s="101"/>
      <c r="I107" s="306">
        <f>SUMIF($G$8:$G$87,G107,$D$8:$D$87)</f>
        <v>189000</v>
      </c>
      <c r="J107" s="307"/>
    </row>
    <row r="108" spans="1:11">
      <c r="A108" s="27" t="s">
        <v>49</v>
      </c>
      <c r="B108" s="63"/>
      <c r="C108" s="63"/>
      <c r="D108" s="80"/>
      <c r="E108" s="29">
        <f t="shared" si="2"/>
        <v>0</v>
      </c>
      <c r="F108" s="3"/>
      <c r="G108" s="316" t="s">
        <v>145</v>
      </c>
      <c r="H108" s="317"/>
      <c r="I108" s="306">
        <f>-SUMIF($G$8:$G$87,G108,$E$8:$E$87)</f>
        <v>-125421.34</v>
      </c>
      <c r="J108" s="307"/>
    </row>
    <row r="109" spans="1:11">
      <c r="A109" s="27" t="s">
        <v>36</v>
      </c>
      <c r="B109" s="63"/>
      <c r="C109" s="63"/>
      <c r="D109" s="80"/>
      <c r="E109" s="29">
        <f t="shared" si="2"/>
        <v>0</v>
      </c>
      <c r="F109" s="3"/>
      <c r="G109" s="100" t="s">
        <v>30</v>
      </c>
      <c r="H109" s="101"/>
      <c r="I109" s="306">
        <v>658.08</v>
      </c>
      <c r="J109" s="307"/>
    </row>
    <row r="110" spans="1:11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314"/>
      <c r="J110" s="315"/>
    </row>
    <row r="111" spans="1:11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310">
        <f>SUM(I106:J109)</f>
        <v>140404.13</v>
      </c>
      <c r="J111" s="311"/>
    </row>
    <row r="112" spans="1:11">
      <c r="A112" s="27" t="s">
        <v>146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102"/>
      <c r="K112" s="24"/>
    </row>
    <row r="113" spans="1:13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312"/>
      <c r="J113" s="313"/>
      <c r="K113" s="24"/>
    </row>
    <row r="114" spans="1:13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304">
        <v>0</v>
      </c>
      <c r="J114" s="305"/>
      <c r="K114" s="24"/>
    </row>
    <row r="115" spans="1:13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101"/>
      <c r="I115" s="306">
        <f>SUMIF($G$8:$G$87,G115,$E$8:$E$87)</f>
        <v>0</v>
      </c>
      <c r="J115" s="307"/>
      <c r="K115" s="24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100" t="s">
        <v>14</v>
      </c>
      <c r="H116" s="101"/>
      <c r="I116" s="306">
        <f>-SUMIF($G$8:$G$87,G116,$D$8:$D$87)</f>
        <v>0</v>
      </c>
      <c r="J116" s="307"/>
      <c r="K116" s="24"/>
    </row>
    <row r="117" spans="1:13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314"/>
      <c r="J117" s="31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302">
        <f>SUM(I114:J117)</f>
        <v>0</v>
      </c>
      <c r="J118" s="303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10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100" t="s">
        <v>19</v>
      </c>
      <c r="H121" s="101"/>
      <c r="I121" s="308">
        <f>'CEF Maio 2018'!I142:J142</f>
        <v>0</v>
      </c>
      <c r="J121" s="309"/>
      <c r="K121" s="24"/>
    </row>
    <row r="122" spans="1:13">
      <c r="A122" s="27"/>
      <c r="B122" s="63"/>
      <c r="C122" s="63"/>
      <c r="D122" s="80"/>
      <c r="E122" s="29">
        <f t="shared" si="2"/>
        <v>0</v>
      </c>
      <c r="F122" s="3"/>
      <c r="G122" s="100" t="s">
        <v>42</v>
      </c>
      <c r="H122" s="101"/>
      <c r="I122" s="291">
        <v>249997.75</v>
      </c>
      <c r="J122" s="292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100" t="s">
        <v>147</v>
      </c>
      <c r="H123" s="101"/>
      <c r="I123" s="306">
        <f>-SUMIF($G$8:$G$87,G123,$E$8:$E$87)</f>
        <v>-249997.75</v>
      </c>
      <c r="J123" s="30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300"/>
      <c r="J124" s="301"/>
      <c r="K124" s="24"/>
    </row>
    <row r="125" spans="1:13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310">
        <f>SUM(I121:J124)</f>
        <v>0</v>
      </c>
      <c r="J125" s="311"/>
      <c r="K125" s="24"/>
      <c r="M125" s="39"/>
    </row>
    <row r="126" spans="1:13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304">
        <f>'CEF Maio 2018'!I149:J149</f>
        <v>36677.22</v>
      </c>
      <c r="J128" s="305"/>
      <c r="K128" s="24"/>
    </row>
    <row r="129" spans="1:11">
      <c r="A129" s="27"/>
      <c r="B129" s="63"/>
      <c r="C129" s="63"/>
      <c r="D129" s="80"/>
      <c r="E129" s="29">
        <f t="shared" si="2"/>
        <v>0</v>
      </c>
      <c r="F129" s="3"/>
      <c r="G129" s="27" t="s">
        <v>162</v>
      </c>
      <c r="H129" s="41"/>
      <c r="I129" s="306">
        <v>16990.71</v>
      </c>
      <c r="J129" s="307"/>
      <c r="K129" s="24"/>
    </row>
    <row r="130" spans="1:11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306"/>
      <c r="J130" s="307"/>
      <c r="K130" s="24"/>
    </row>
    <row r="131" spans="1:11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300">
        <f>SUMIF($G$8:$G$87,G131,$D$8:$D$87)</f>
        <v>0</v>
      </c>
      <c r="J131" s="301"/>
      <c r="K131" s="24"/>
    </row>
    <row r="132" spans="1:11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302">
        <f>SUM(I128:J131)</f>
        <v>53667.93</v>
      </c>
      <c r="J132" s="303"/>
      <c r="K132" s="24"/>
    </row>
    <row r="133" spans="1:11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102"/>
      <c r="K133" s="24"/>
    </row>
    <row r="134" spans="1:11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>
      <c r="A135" s="30"/>
      <c r="B135" s="85"/>
      <c r="C135" s="85"/>
      <c r="D135" s="86"/>
      <c r="E135" s="87"/>
      <c r="F135" s="3"/>
      <c r="G135" s="100" t="s">
        <v>140</v>
      </c>
      <c r="H135" s="101"/>
      <c r="I135" s="291">
        <f>'CEF Maio 2018'!I156:J156</f>
        <v>57586.930000000008</v>
      </c>
      <c r="J135" s="292"/>
      <c r="K135" s="24"/>
    </row>
    <row r="136" spans="1:11">
      <c r="A136" s="297" t="s">
        <v>22</v>
      </c>
      <c r="B136" s="298"/>
      <c r="C136" s="298"/>
      <c r="D136" s="81"/>
      <c r="E136" s="35">
        <f>SUM(E98:E134)</f>
        <v>375419.09000000008</v>
      </c>
      <c r="F136" s="3"/>
      <c r="G136" s="27" t="s">
        <v>163</v>
      </c>
      <c r="H136" s="101"/>
      <c r="I136" s="291"/>
      <c r="J136" s="292"/>
      <c r="K136" s="24"/>
    </row>
    <row r="137" spans="1:11">
      <c r="F137" s="3"/>
      <c r="G137" s="100"/>
      <c r="H137" s="101"/>
      <c r="I137" s="291"/>
      <c r="J137" s="292"/>
      <c r="K137" s="24"/>
    </row>
    <row r="138" spans="1:11">
      <c r="E138" s="46">
        <f>D88-E136</f>
        <v>0</v>
      </c>
      <c r="F138" s="3"/>
      <c r="G138" s="27"/>
      <c r="H138" s="41"/>
      <c r="I138" s="295"/>
      <c r="J138" s="296"/>
      <c r="K138" s="24"/>
    </row>
    <row r="139" spans="1:11">
      <c r="F139" s="3"/>
      <c r="G139" s="89" t="s">
        <v>18</v>
      </c>
      <c r="H139" s="88"/>
      <c r="I139" s="293">
        <f>SUM(I135:J138)</f>
        <v>57586.930000000008</v>
      </c>
      <c r="J139" s="294"/>
      <c r="K139" s="24"/>
    </row>
    <row r="140" spans="1:11">
      <c r="A140" s="27"/>
      <c r="B140" s="63"/>
      <c r="C140" s="63"/>
      <c r="D140" s="80"/>
      <c r="K140" s="24"/>
    </row>
    <row r="141" spans="1:11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>
      <c r="D142" s="72"/>
      <c r="F142" s="3"/>
      <c r="G142" s="45"/>
      <c r="H142" s="45"/>
      <c r="I142" s="69"/>
      <c r="J142" s="69"/>
      <c r="K142" s="24"/>
    </row>
    <row r="144" spans="1:11">
      <c r="E144" s="46"/>
    </row>
    <row r="145" spans="5:5">
      <c r="E145" s="46"/>
    </row>
    <row r="148" spans="5:5">
      <c r="E148" s="46"/>
    </row>
  </sheetData>
  <sortState ref="A98:E115">
    <sortCondition ref="A98"/>
  </sortState>
  <mergeCells count="47">
    <mergeCell ref="A136:C136"/>
    <mergeCell ref="I136:J136"/>
    <mergeCell ref="I137:J137"/>
    <mergeCell ref="I138:J138"/>
    <mergeCell ref="I139:J139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A93:K93"/>
    <mergeCell ref="A2:K2"/>
    <mergeCell ref="A4:K4"/>
    <mergeCell ref="A6:F6"/>
    <mergeCell ref="G6:K6"/>
    <mergeCell ref="A88:B8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topLeftCell="A34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v>101697.88</v>
      </c>
      <c r="C2" s="41"/>
      <c r="D2" s="144"/>
      <c r="E2" s="41"/>
      <c r="F2" s="41"/>
    </row>
    <row r="3" spans="1:6" ht="15.75" thickBot="1">
      <c r="A3" s="177"/>
      <c r="B3" s="256">
        <f>'Rp 14 - 01 2019'!B3+'Rp 14 - 02 2019'!B3+'Rp 14 - 03 2019'!B3+'Rp 14 - 04 2019'!B3+'Rp 14 - 05 2019'!B3+'Rp 14 - 06 2019'!B3+'Rp 14 - 07 2019'!B3+'Rp 14 - 08 2019'!B3+'Rp 14 - 09 2019'!B3+'Rp 14 - 10 2019'!B3+'Rp 14 - 11 2019'!B3+'Rp 14 - 12 2019'!B3</f>
        <v>3393766.0100000007</v>
      </c>
      <c r="C3" s="41"/>
      <c r="D3" s="265">
        <f>B3-3438544.64</f>
        <v>-44778.629999999423</v>
      </c>
      <c r="E3" s="41"/>
      <c r="F3" s="41"/>
    </row>
    <row r="4" spans="1:6" ht="15.75" thickBot="1">
      <c r="A4" s="177"/>
      <c r="B4" s="256">
        <f>'Rp 14 - 01 2019'!B4+'Rp 14 - 02 2019'!B4+'Rp 14 - 03 2019'!B4+'Rp 14 - 04 2019'!B4+'Rp 14 - 05 2019'!B4+'Rp 14 - 06 2019'!B4+'Rp 14 - 07 2019'!B4+'Rp 14 - 08 2019'!B4+'Rp 14 - 09 2019'!B4+'Rp 14 - 10 2019'!B4+'Rp 14 - 11 2019'!B4+'Rp 14 - 12 2019'!B4</f>
        <v>14195.73</v>
      </c>
      <c r="C4" s="41"/>
      <c r="D4" s="144"/>
      <c r="E4" s="41"/>
      <c r="F4" s="41"/>
    </row>
    <row r="5" spans="1:6" ht="15.75" thickBot="1">
      <c r="A5" s="177"/>
      <c r="B5" s="256">
        <f>'Rp 14 - 01 2019'!B5+'Rp 14 - 02 2019'!B5+'Rp 14 - 03 2019'!B5+'Rp 14 - 04 2019'!B5+'Rp 14 - 05 2019'!B5+'Rp 14 - 06 2019'!B5+'Rp 14 - 07 2019'!B5+'Rp 14 - 08 2019'!B5+'Rp 14 - 09 2019'!B5+'Rp 14 - 10 2019'!B5+'Rp 14 - 11 2019'!B5+'Rp 14 - 12 2019'!B5</f>
        <v>43384.23000000001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3553043.8500000006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257">
        <v>1834512.39</v>
      </c>
      <c r="C11" s="258">
        <f>'Rp 14 - 01 2019'!C17+'Rp 14 - 02 2019'!C17+'Rp 14 - 03 2019'!C17+'Rp 14 - 04 2019'!C11+'Rp 14 - 05 2019'!C11+'Rp 14 - 06 2019'!C11+'Rp 14 - 07 2019'!C11+'Rp 14 - 08 2019'!C11+'Rp 14 - 09 2019'!C11+'Rp 14 - 10 2019'!C11+'Rp 14 - 11 2019'!C11+'Rp 14 - 12 2019'!C11</f>
        <v>1759249.59</v>
      </c>
      <c r="D11" s="115"/>
      <c r="E11" s="260">
        <f t="shared" ref="E11:E27" si="0">C11+D11</f>
        <v>1759249.59</v>
      </c>
      <c r="F11" s="261">
        <f>434499.33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259">
        <v>0</v>
      </c>
      <c r="C16" s="259">
        <f>'Rp 14 - 02 2019'!C22</f>
        <v>41065.620000000003</v>
      </c>
      <c r="D16" s="134"/>
      <c r="E16" s="166">
        <f t="shared" si="0"/>
        <v>41065.620000000003</v>
      </c>
      <c r="F16" s="134"/>
    </row>
    <row r="17" spans="1:10" ht="24.95" customHeight="1" thickBot="1">
      <c r="A17" s="114" t="s">
        <v>205</v>
      </c>
      <c r="B17" s="259">
        <f>1271347.1</f>
        <v>1271347.1000000001</v>
      </c>
      <c r="C17" s="258">
        <f>'Rp 14 - 01 2019'!C23+'Rp 14 - 02 2019'!C23+'Rp 14 - 03 2019'!C23+'Rp 14 - 04 2019'!C17+'Rp 14 - 05 2019'!C17+'Rp 14 - 06 2019'!C17+'Rp 14 - 07 2019'!C17+'Rp 14 - 08 2019'!C17+'Rp 14 - 09 2019'!C17+'Rp 14 - 10 2019'!C17+'Rp 14 - 11 2019'!C17+'Rp 14 - 12 2019'!C17</f>
        <v>1266486.1300000001</v>
      </c>
      <c r="D17" s="115"/>
      <c r="E17" s="260">
        <f t="shared" si="0"/>
        <v>1266486.1300000001</v>
      </c>
      <c r="F17" s="261"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1464.5</v>
      </c>
      <c r="C25" s="259"/>
      <c r="D25" s="258">
        <f>'Rp 14 - 01 2019'!D31+'Rp 14 - 02 2019'!D31+'Rp 14 - 03 2019'!D31+'Rp 14 - 04 2019'!D25+'Rp 14 - 05 2019'!D25+'Rp 14 - 06 2019'!D25+'Rp 14 - 07 2019'!D25+'Rp 14 - 08 2019'!D25+'Rp 14 - 09 2019'!D25+'Rp 14 - 10 2019'!D25+'Rp 14 - 11 2019'!D25+'Rp 14 - 12 2019'!D25</f>
        <v>1667.12</v>
      </c>
      <c r="E25" s="260">
        <f t="shared" si="0"/>
        <v>1667.12</v>
      </c>
      <c r="F25" s="115"/>
    </row>
    <row r="26" spans="1:10" ht="24.95" customHeight="1" thickBot="1">
      <c r="A26" s="114" t="s">
        <v>196</v>
      </c>
      <c r="B26" s="259">
        <v>217322.26</v>
      </c>
      <c r="C26" s="259">
        <f>'Rp 14 - 01 2019'!C32+'Rp 14 - 03 2019'!C32+'Rp 14 - 04 2019'!C26+'Rp 14 - 05 2019'!C26+'Rp 14 - 06 2019'!C26+'Rp 14 - 07 2019'!C26+'Rp 14 - 08 2019'!C26+'Rp 14 - 09 2019'!C26+'Rp 14 - 10 2019'!C26+'Rp 14 - 11 2019'!C26+'Rp 14 - 12 2019'!C26</f>
        <v>210248.80000000002</v>
      </c>
      <c r="D26" s="111"/>
      <c r="E26" s="260">
        <f>C26+D26</f>
        <v>210248.80000000002</v>
      </c>
      <c r="F26" s="262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3324646.25</v>
      </c>
      <c r="C28" s="152">
        <f>SUM(C11:C27)</f>
        <v>3277050.14</v>
      </c>
      <c r="D28" s="152">
        <f>SUM(D11:D27)</f>
        <v>1667.12</v>
      </c>
      <c r="E28" s="152">
        <f>SUM(E11:E27)</f>
        <v>3278717.2600000002</v>
      </c>
      <c r="F28" s="152">
        <f>SUM(F11:F27)</f>
        <v>577740.9</v>
      </c>
      <c r="H28" s="46"/>
      <c r="J28" s="46"/>
    </row>
    <row r="30" spans="1:10" ht="15.75" thickBot="1">
      <c r="C30" s="92"/>
      <c r="D30" s="92"/>
      <c r="E30" s="248"/>
    </row>
    <row r="31" spans="1:10" ht="23.25" thickBot="1">
      <c r="A31" s="154" t="s">
        <v>258</v>
      </c>
      <c r="B31" s="253">
        <f>B7</f>
        <v>3553043.8500000006</v>
      </c>
      <c r="C31" s="92"/>
      <c r="D31" s="92"/>
      <c r="E31" s="92"/>
    </row>
    <row r="32" spans="1:10" ht="23.25" thickBot="1">
      <c r="A32" s="155" t="s">
        <v>259</v>
      </c>
      <c r="B32" s="254">
        <f>B31-B33</f>
        <v>3278717.2600000007</v>
      </c>
      <c r="C32" s="264">
        <f>E28-B32</f>
        <v>0</v>
      </c>
      <c r="D32" s="92"/>
      <c r="E32" s="92"/>
    </row>
    <row r="33" spans="1:5" ht="23.25" thickBot="1">
      <c r="A33" s="155" t="s">
        <v>260</v>
      </c>
      <c r="B33" s="252">
        <v>274326.59000000003</v>
      </c>
      <c r="C33" s="263"/>
      <c r="D33" s="263"/>
      <c r="E33" s="249"/>
    </row>
    <row r="34" spans="1:5" ht="23.25" thickBot="1">
      <c r="A34" s="155" t="s">
        <v>261</v>
      </c>
      <c r="B34" s="111">
        <v>0</v>
      </c>
      <c r="C34" s="92"/>
      <c r="D34" s="92"/>
      <c r="E34" s="92"/>
    </row>
    <row r="35" spans="1:5" ht="34.5" thickBot="1">
      <c r="A35" s="155" t="s">
        <v>262</v>
      </c>
      <c r="B35" s="251">
        <f>B33-B34</f>
        <v>274326.59000000003</v>
      </c>
      <c r="C35" s="92"/>
      <c r="D35" s="92"/>
      <c r="E35" s="46"/>
    </row>
    <row r="38" spans="1:5">
      <c r="E38" s="46"/>
    </row>
    <row r="40" spans="1:5">
      <c r="A40" s="209" t="s">
        <v>377</v>
      </c>
    </row>
  </sheetData>
  <mergeCells count="3"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358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2019'!F69</f>
        <v>0</v>
      </c>
      <c r="G9" s="9"/>
      <c r="H9" s="7"/>
      <c r="I9" s="4"/>
      <c r="J9" s="19"/>
      <c r="K9" s="16"/>
    </row>
    <row r="10" spans="1:11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f t="shared" ref="F10:F63" si="0">F9-D10+E10</f>
        <v>-952.98</v>
      </c>
      <c r="G10" s="9" t="s">
        <v>271</v>
      </c>
      <c r="H10" s="7" t="s">
        <v>84</v>
      </c>
      <c r="I10" s="4"/>
      <c r="J10" s="19"/>
      <c r="K10" s="16"/>
    </row>
    <row r="11" spans="1:11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f t="shared" si="0"/>
        <v>-2874.29</v>
      </c>
      <c r="G11" s="9" t="s">
        <v>271</v>
      </c>
      <c r="H11" s="7" t="s">
        <v>79</v>
      </c>
      <c r="I11" s="4"/>
      <c r="J11" s="19"/>
      <c r="K11" s="16"/>
    </row>
    <row r="12" spans="1:11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f t="shared" si="0"/>
        <v>-15352.89</v>
      </c>
      <c r="G12" s="9" t="s">
        <v>175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f t="shared" si="0"/>
        <v>881.11000000000058</v>
      </c>
      <c r="G13" s="9" t="s">
        <v>145</v>
      </c>
      <c r="H13" s="7"/>
      <c r="I13" s="4"/>
      <c r="J13" s="19"/>
      <c r="K13" s="16"/>
    </row>
    <row r="14" spans="1:11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f t="shared" si="0"/>
        <v>5.6843418860808015E-13</v>
      </c>
      <c r="G14" s="9" t="s">
        <v>271</v>
      </c>
      <c r="H14" s="7" t="s">
        <v>90</v>
      </c>
      <c r="I14" s="4"/>
      <c r="J14" s="19"/>
      <c r="K14" s="16"/>
    </row>
    <row r="15" spans="1:11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f t="shared" si="0"/>
        <v>-970.49999999999943</v>
      </c>
      <c r="G15" s="9" t="s">
        <v>271</v>
      </c>
      <c r="H15" s="7" t="s">
        <v>103</v>
      </c>
      <c r="I15" s="4"/>
      <c r="J15" s="19"/>
      <c r="K15" s="16"/>
    </row>
    <row r="16" spans="1:11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f t="shared" si="0"/>
        <v>1669.7500000000005</v>
      </c>
      <c r="G16" s="9" t="s">
        <v>145</v>
      </c>
      <c r="H16" s="7"/>
      <c r="I16" s="4"/>
      <c r="J16" s="19"/>
      <c r="K16" s="16"/>
    </row>
    <row r="17" spans="1:11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f t="shared" si="0"/>
        <v>4.5474735088646412E-13</v>
      </c>
      <c r="G17" s="9" t="s">
        <v>271</v>
      </c>
      <c r="H17" s="7" t="s">
        <v>87</v>
      </c>
      <c r="I17" s="4"/>
      <c r="J17" s="19"/>
      <c r="K17" s="16"/>
    </row>
    <row r="18" spans="1:11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f t="shared" si="0"/>
        <v>-2691.7799999999997</v>
      </c>
      <c r="G18" s="9" t="s">
        <v>271</v>
      </c>
      <c r="H18" s="7" t="s">
        <v>360</v>
      </c>
      <c r="I18" s="4"/>
      <c r="J18" s="19"/>
      <c r="K18" s="16"/>
    </row>
    <row r="19" spans="1:11">
      <c r="A19" s="15">
        <v>43836</v>
      </c>
      <c r="B19" s="4">
        <v>122019</v>
      </c>
      <c r="C19" s="4" t="s">
        <v>188</v>
      </c>
      <c r="D19" s="77">
        <v>99</v>
      </c>
      <c r="E19" s="5"/>
      <c r="F19" s="6">
        <f t="shared" si="0"/>
        <v>-2790.7799999999997</v>
      </c>
      <c r="G19" s="9" t="s">
        <v>72</v>
      </c>
      <c r="H19" s="7"/>
      <c r="I19" s="4"/>
      <c r="J19" s="19"/>
      <c r="K19" s="16"/>
    </row>
    <row r="20" spans="1:11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203284.15</v>
      </c>
      <c r="G20" s="9" t="s">
        <v>147</v>
      </c>
      <c r="H20" s="7"/>
      <c r="I20" s="4"/>
      <c r="J20" s="19"/>
      <c r="K20" s="16"/>
    </row>
    <row r="21" spans="1:11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f t="shared" si="0"/>
        <v>290602.17</v>
      </c>
      <c r="G21" s="9" t="s">
        <v>147</v>
      </c>
      <c r="H21" s="7"/>
      <c r="I21" s="4"/>
      <c r="J21" s="19"/>
      <c r="K21" s="16"/>
    </row>
    <row r="22" spans="1:11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f t="shared" si="0"/>
        <v>88513.169999999984</v>
      </c>
      <c r="G22" s="9" t="s">
        <v>149</v>
      </c>
      <c r="H22" s="7"/>
      <c r="I22" s="4"/>
      <c r="J22" s="19"/>
      <c r="K22" s="16"/>
    </row>
    <row r="23" spans="1:11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f t="shared" si="0"/>
        <v>103553.43999999999</v>
      </c>
      <c r="G23" s="9" t="s">
        <v>145</v>
      </c>
      <c r="H23" s="7"/>
      <c r="I23" s="4"/>
      <c r="J23" s="19"/>
      <c r="K23" s="16"/>
    </row>
    <row r="24" spans="1:11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f t="shared" si="0"/>
        <v>102987.01</v>
      </c>
      <c r="G24" s="9" t="s">
        <v>272</v>
      </c>
      <c r="H24" s="7" t="s">
        <v>117</v>
      </c>
      <c r="I24" s="4">
        <v>14</v>
      </c>
      <c r="J24" s="19">
        <v>1</v>
      </c>
      <c r="K24" s="16"/>
    </row>
    <row r="25" spans="1:11">
      <c r="A25" s="15">
        <v>43837</v>
      </c>
      <c r="B25" s="4">
        <v>309379</v>
      </c>
      <c r="C25" s="4" t="s">
        <v>172</v>
      </c>
      <c r="D25" s="77">
        <v>87946.1</v>
      </c>
      <c r="E25" s="5"/>
      <c r="F25" s="6">
        <f t="shared" si="0"/>
        <v>15040.909999999989</v>
      </c>
      <c r="G25" s="9" t="s">
        <v>270</v>
      </c>
      <c r="H25" s="7"/>
      <c r="I25" s="4"/>
      <c r="J25" s="19"/>
      <c r="K25" s="16"/>
    </row>
    <row r="26" spans="1:11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f t="shared" si="0"/>
        <v>13384.509999999989</v>
      </c>
      <c r="G26" s="9" t="s">
        <v>271</v>
      </c>
      <c r="H26" s="7" t="s">
        <v>96</v>
      </c>
      <c r="I26" s="4"/>
      <c r="J26" s="19"/>
      <c r="K26" s="16"/>
    </row>
    <row r="27" spans="1:11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f t="shared" si="0"/>
        <v>-1.0913936421275139E-11</v>
      </c>
      <c r="G27" s="9" t="s">
        <v>271</v>
      </c>
      <c r="H27" s="7" t="s">
        <v>154</v>
      </c>
      <c r="I27" s="4"/>
      <c r="J27" s="19"/>
      <c r="K27" s="16"/>
    </row>
    <row r="28" spans="1:11">
      <c r="A28" s="15">
        <v>43840</v>
      </c>
      <c r="B28" s="4">
        <v>406596</v>
      </c>
      <c r="C28" s="4" t="s">
        <v>216</v>
      </c>
      <c r="D28" s="77">
        <v>1787.3</v>
      </c>
      <c r="E28" s="5"/>
      <c r="F28" s="6">
        <f t="shared" si="0"/>
        <v>-1787.3000000000109</v>
      </c>
      <c r="G28" s="9" t="s">
        <v>218</v>
      </c>
      <c r="H28" s="7" t="s">
        <v>222</v>
      </c>
      <c r="I28" s="4">
        <v>1</v>
      </c>
      <c r="J28" s="19">
        <v>1</v>
      </c>
      <c r="K28" s="16"/>
    </row>
    <row r="29" spans="1:11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f t="shared" si="0"/>
        <v>-1.0913936421275139E-11</v>
      </c>
      <c r="G29" s="9" t="s">
        <v>145</v>
      </c>
      <c r="H29" s="7"/>
      <c r="I29" s="4"/>
      <c r="J29" s="19"/>
      <c r="K29" s="16"/>
    </row>
    <row r="30" spans="1:11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f t="shared" si="0"/>
        <v>-9324.4500000000116</v>
      </c>
      <c r="G30" s="9" t="s">
        <v>178</v>
      </c>
      <c r="H30" s="7" t="s">
        <v>351</v>
      </c>
      <c r="I30" s="4">
        <v>25</v>
      </c>
      <c r="J30" s="19">
        <v>2</v>
      </c>
      <c r="K30" s="16">
        <v>43838</v>
      </c>
    </row>
    <row r="31" spans="1:11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f t="shared" si="0"/>
        <v>-11644.400000000012</v>
      </c>
      <c r="G31" s="9" t="s">
        <v>34</v>
      </c>
      <c r="H31" s="7" t="s">
        <v>346</v>
      </c>
      <c r="I31" s="4">
        <v>135</v>
      </c>
      <c r="J31" s="19">
        <v>3</v>
      </c>
      <c r="K31" s="16">
        <v>43832</v>
      </c>
    </row>
    <row r="32" spans="1:11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f t="shared" si="0"/>
        <v>-15698.720000000012</v>
      </c>
      <c r="G32" s="9" t="s">
        <v>178</v>
      </c>
      <c r="H32" s="7" t="s">
        <v>341</v>
      </c>
      <c r="I32" s="4">
        <v>284</v>
      </c>
      <c r="J32" s="19">
        <v>4</v>
      </c>
      <c r="K32" s="16">
        <v>43837</v>
      </c>
    </row>
    <row r="33" spans="1:11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f t="shared" si="0"/>
        <v>-27472.880000000012</v>
      </c>
      <c r="G33" s="9" t="s">
        <v>178</v>
      </c>
      <c r="H33" s="7" t="s">
        <v>342</v>
      </c>
      <c r="I33" s="4">
        <v>4</v>
      </c>
      <c r="J33" s="19">
        <v>4</v>
      </c>
      <c r="K33" s="16">
        <v>43837</v>
      </c>
    </row>
    <row r="34" spans="1:11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f t="shared" si="0"/>
        <v>-33359.960000000014</v>
      </c>
      <c r="G34" s="9" t="s">
        <v>178</v>
      </c>
      <c r="H34" s="7" t="s">
        <v>352</v>
      </c>
      <c r="I34" s="4">
        <v>38</v>
      </c>
      <c r="J34" s="19">
        <v>2</v>
      </c>
      <c r="K34" s="16">
        <v>43838</v>
      </c>
    </row>
    <row r="35" spans="1:11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f t="shared" si="0"/>
        <v>-44359.960000000014</v>
      </c>
      <c r="G35" s="9" t="s">
        <v>174</v>
      </c>
      <c r="H35" s="7" t="s">
        <v>361</v>
      </c>
      <c r="I35" s="4">
        <v>44</v>
      </c>
      <c r="J35" s="19">
        <v>5</v>
      </c>
      <c r="K35" s="16">
        <v>43837</v>
      </c>
    </row>
    <row r="36" spans="1:11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f t="shared" si="0"/>
        <v>-48679.960000000014</v>
      </c>
      <c r="G36" s="9" t="s">
        <v>178</v>
      </c>
      <c r="H36" s="7" t="s">
        <v>302</v>
      </c>
      <c r="I36" s="4">
        <v>102</v>
      </c>
      <c r="J36" s="19">
        <v>9</v>
      </c>
      <c r="K36" s="16">
        <v>43837</v>
      </c>
    </row>
    <row r="37" spans="1:11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f t="shared" si="0"/>
        <v>-59245.600000000013</v>
      </c>
      <c r="G37" s="9" t="s">
        <v>178</v>
      </c>
      <c r="H37" s="7" t="s">
        <v>183</v>
      </c>
      <c r="I37" s="4">
        <v>44</v>
      </c>
      <c r="J37" s="19">
        <v>7</v>
      </c>
      <c r="K37" s="16">
        <v>43838</v>
      </c>
    </row>
    <row r="38" spans="1:11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f t="shared" si="0"/>
        <v>-75989.250000000015</v>
      </c>
      <c r="G38" s="9" t="s">
        <v>146</v>
      </c>
      <c r="H38" s="7" t="s">
        <v>128</v>
      </c>
      <c r="I38" s="4">
        <v>54</v>
      </c>
      <c r="J38" s="19">
        <v>16</v>
      </c>
      <c r="K38" s="16">
        <v>43839</v>
      </c>
    </row>
    <row r="39" spans="1:11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f t="shared" si="0"/>
        <v>-86782.23000000001</v>
      </c>
      <c r="G39" s="9" t="s">
        <v>178</v>
      </c>
      <c r="H39" s="7" t="s">
        <v>224</v>
      </c>
      <c r="I39" s="4">
        <v>39</v>
      </c>
      <c r="J39" s="19">
        <v>5</v>
      </c>
      <c r="K39" s="16">
        <v>43837</v>
      </c>
    </row>
    <row r="40" spans="1:11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f t="shared" si="0"/>
        <v>-101084.97000000002</v>
      </c>
      <c r="G40" s="9" t="s">
        <v>178</v>
      </c>
      <c r="H40" s="7" t="s">
        <v>127</v>
      </c>
      <c r="I40" s="4">
        <v>82</v>
      </c>
      <c r="J40" s="19">
        <v>9</v>
      </c>
      <c r="K40" s="16">
        <v>43839</v>
      </c>
    </row>
    <row r="41" spans="1:11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f t="shared" si="0"/>
        <v>-103265.37000000001</v>
      </c>
      <c r="G41" s="9" t="s">
        <v>174</v>
      </c>
      <c r="H41" s="7" t="s">
        <v>343</v>
      </c>
      <c r="I41" s="4">
        <v>829</v>
      </c>
      <c r="J41" s="19">
        <v>4</v>
      </c>
      <c r="K41" s="16">
        <v>43836</v>
      </c>
    </row>
    <row r="42" spans="1:11">
      <c r="A42" s="15">
        <v>43845</v>
      </c>
      <c r="B42" s="4">
        <v>151526</v>
      </c>
      <c r="C42" s="4" t="s">
        <v>173</v>
      </c>
      <c r="D42" s="77">
        <v>2352</v>
      </c>
      <c r="E42" s="5"/>
      <c r="F42" s="6">
        <f t="shared" si="0"/>
        <v>-105617.37000000001</v>
      </c>
      <c r="G42" s="9" t="s">
        <v>178</v>
      </c>
      <c r="H42" s="7" t="s">
        <v>223</v>
      </c>
      <c r="I42" s="4">
        <v>549</v>
      </c>
      <c r="J42" s="19">
        <v>8</v>
      </c>
      <c r="K42" s="16">
        <v>43835</v>
      </c>
    </row>
    <row r="43" spans="1:11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f t="shared" si="0"/>
        <v>753.88999999999942</v>
      </c>
      <c r="G43" s="9" t="s">
        <v>145</v>
      </c>
      <c r="H43" s="7"/>
      <c r="I43" s="4"/>
      <c r="J43" s="19"/>
      <c r="K43" s="16"/>
    </row>
    <row r="44" spans="1:11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f t="shared" si="0"/>
        <v>-5.6843418860808015E-13</v>
      </c>
      <c r="G44" s="9" t="s">
        <v>179</v>
      </c>
      <c r="H44" s="7" t="s">
        <v>99</v>
      </c>
      <c r="I44" s="4"/>
      <c r="J44" s="19"/>
      <c r="K44" s="16"/>
    </row>
    <row r="45" spans="1:11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f t="shared" si="0"/>
        <v>4615.0399999999991</v>
      </c>
      <c r="G45" s="9" t="s">
        <v>145</v>
      </c>
      <c r="H45" s="7"/>
      <c r="I45" s="4"/>
      <c r="J45" s="19"/>
      <c r="K45" s="16"/>
    </row>
    <row r="46" spans="1:11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f t="shared" si="0"/>
        <v>9.4999999999990905</v>
      </c>
      <c r="G46" s="9" t="s">
        <v>178</v>
      </c>
      <c r="H46" s="7" t="s">
        <v>189</v>
      </c>
      <c r="I46" s="4">
        <v>17</v>
      </c>
      <c r="J46" s="19">
        <v>17</v>
      </c>
      <c r="K46" s="16">
        <v>43843</v>
      </c>
    </row>
    <row r="47" spans="1:11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f t="shared" si="0"/>
        <v>-9.0949470177292824E-13</v>
      </c>
      <c r="G47" s="9" t="s">
        <v>72</v>
      </c>
      <c r="H47" s="7"/>
      <c r="I47" s="4"/>
      <c r="J47" s="19"/>
      <c r="K47" s="16"/>
    </row>
    <row r="48" spans="1:11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f t="shared" si="0"/>
        <v>-3270.6600000000008</v>
      </c>
      <c r="G48" s="9" t="s">
        <v>29</v>
      </c>
      <c r="H48" s="7" t="s">
        <v>256</v>
      </c>
      <c r="I48" s="4">
        <v>111</v>
      </c>
      <c r="J48" s="19">
        <v>1</v>
      </c>
      <c r="K48" s="16"/>
    </row>
    <row r="49" spans="1:11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f t="shared" si="0"/>
        <v>-6608.9900000000007</v>
      </c>
      <c r="G49" s="9" t="s">
        <v>29</v>
      </c>
      <c r="H49" s="7" t="s">
        <v>256</v>
      </c>
      <c r="I49" s="4">
        <v>116</v>
      </c>
      <c r="J49" s="19">
        <v>1</v>
      </c>
      <c r="K49" s="16"/>
    </row>
    <row r="50" spans="1:11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f t="shared" si="0"/>
        <v>-6653.3000000000011</v>
      </c>
      <c r="G50" s="9" t="s">
        <v>29</v>
      </c>
      <c r="H50" s="7" t="s">
        <v>256</v>
      </c>
      <c r="I50" s="4">
        <v>119</v>
      </c>
      <c r="J50" s="19">
        <v>1</v>
      </c>
      <c r="K50" s="16"/>
    </row>
    <row r="51" spans="1:11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f t="shared" si="0"/>
        <v>8635.73</v>
      </c>
      <c r="G51" s="9" t="s">
        <v>145</v>
      </c>
      <c r="H51" s="7"/>
      <c r="I51" s="4"/>
      <c r="J51" s="19"/>
      <c r="K51" s="16"/>
    </row>
    <row r="52" spans="1:11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f t="shared" si="0"/>
        <v>8166.53</v>
      </c>
      <c r="G52" s="9" t="s">
        <v>150</v>
      </c>
      <c r="H52" s="7" t="s">
        <v>161</v>
      </c>
      <c r="I52" s="4">
        <v>1417373</v>
      </c>
      <c r="J52" s="19">
        <v>1</v>
      </c>
      <c r="K52" s="16">
        <v>43839</v>
      </c>
    </row>
    <row r="53" spans="1:11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f t="shared" si="0"/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f t="shared" si="0"/>
        <v>2228.2799999999997</v>
      </c>
      <c r="G54" s="9" t="s">
        <v>273</v>
      </c>
      <c r="H54" s="7" t="s">
        <v>257</v>
      </c>
      <c r="I54" s="4">
        <v>5</v>
      </c>
      <c r="J54" s="19">
        <v>1</v>
      </c>
      <c r="K54" s="16"/>
    </row>
    <row r="55" spans="1:11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f t="shared" si="0"/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f t="shared" si="0"/>
        <v>711.44999999999959</v>
      </c>
      <c r="G56" s="9" t="s">
        <v>145</v>
      </c>
      <c r="H56" s="7"/>
      <c r="I56" s="4"/>
      <c r="J56" s="19"/>
      <c r="K56" s="16"/>
    </row>
    <row r="57" spans="1:11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f t="shared" si="0"/>
        <v>9.4999999999995453</v>
      </c>
      <c r="G57" s="9" t="s">
        <v>179</v>
      </c>
      <c r="H57" s="7"/>
      <c r="I57" s="4"/>
      <c r="J57" s="19"/>
      <c r="K57" s="16"/>
    </row>
    <row r="58" spans="1:11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f t="shared" si="0"/>
        <v>-4.5474735088646412E-13</v>
      </c>
      <c r="G58" s="9" t="s">
        <v>72</v>
      </c>
      <c r="H58" s="7"/>
      <c r="I58" s="4"/>
      <c r="J58" s="19"/>
      <c r="K58" s="16"/>
    </row>
    <row r="59" spans="1:11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f t="shared" si="0"/>
        <v>-21190.510000000002</v>
      </c>
      <c r="G59" s="9" t="s">
        <v>176</v>
      </c>
      <c r="H59" s="7"/>
      <c r="I59" s="4"/>
      <c r="J59" s="19"/>
      <c r="K59" s="16"/>
    </row>
    <row r="60" spans="1:11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f t="shared" si="0"/>
        <v>14577.050000000001</v>
      </c>
      <c r="G61" s="9" t="s">
        <v>145</v>
      </c>
      <c r="H61" s="7"/>
      <c r="I61" s="4"/>
      <c r="J61" s="19"/>
      <c r="K61" s="16"/>
    </row>
    <row r="62" spans="1:11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f t="shared" si="0"/>
        <v>14657.050000000001</v>
      </c>
      <c r="G62" s="9" t="s">
        <v>234</v>
      </c>
      <c r="H62" s="7"/>
      <c r="I62" s="4"/>
      <c r="J62" s="19"/>
      <c r="K62" s="16"/>
    </row>
    <row r="63" spans="1:11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f t="shared" si="0"/>
        <v>0</v>
      </c>
      <c r="G63" s="9" t="s">
        <v>151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>
      <c r="A65" s="324" t="s">
        <v>12</v>
      </c>
      <c r="B65" s="325"/>
      <c r="C65" s="21"/>
      <c r="D65" s="78">
        <f>SUM(D10:D64)</f>
        <v>491929.1100000001</v>
      </c>
      <c r="E65" s="40">
        <f>SUM(E10:E64)</f>
        <v>491929.11000000004</v>
      </c>
      <c r="F65" s="22">
        <f>F9-D65+E65</f>
        <v>0</v>
      </c>
      <c r="G65" s="10"/>
      <c r="H65" s="18"/>
      <c r="I65" s="17"/>
      <c r="J65" s="20"/>
      <c r="K65" s="25"/>
    </row>
    <row r="66" spans="1:13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>
      <c r="A70" s="299" t="s">
        <v>123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</row>
    <row r="71" spans="1:13" ht="18" customHeight="1"/>
    <row r="72" spans="1:13" ht="18" customHeight="1">
      <c r="A72" s="318" t="s">
        <v>359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</row>
    <row r="73" spans="1:13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>
      <c r="A74" s="319" t="s">
        <v>21</v>
      </c>
      <c r="B74" s="320"/>
      <c r="C74" s="320"/>
      <c r="D74" s="320"/>
      <c r="E74" s="321"/>
      <c r="F74" s="3"/>
      <c r="G74" s="322" t="s">
        <v>20</v>
      </c>
      <c r="H74" s="322"/>
      <c r="I74" s="322"/>
      <c r="J74" s="322"/>
      <c r="K74" s="24"/>
    </row>
    <row r="75" spans="1:13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06">
        <f>SUMIF($G$8:$G$64,G75,$E$8:$E$64)</f>
        <v>293392.95</v>
      </c>
      <c r="J75" s="307"/>
      <c r="K75" s="24"/>
    </row>
    <row r="76" spans="1:13">
      <c r="A76" s="27" t="s">
        <v>149</v>
      </c>
      <c r="B76" s="63"/>
      <c r="C76" s="63"/>
      <c r="D76" s="80"/>
      <c r="E76" s="29">
        <f t="shared" si="1"/>
        <v>202089</v>
      </c>
      <c r="F76" s="3"/>
      <c r="G76" s="316" t="s">
        <v>145</v>
      </c>
      <c r="H76" s="317"/>
      <c r="I76" s="306">
        <f>SUMIF($G$8:$G$64,G76,$E$8:$E$64)</f>
        <v>198456.16000000003</v>
      </c>
      <c r="J76" s="307"/>
      <c r="K76" s="24"/>
    </row>
    <row r="77" spans="1:13">
      <c r="A77" s="27" t="s">
        <v>174</v>
      </c>
      <c r="B77" s="63"/>
      <c r="C77" s="63"/>
      <c r="D77" s="80"/>
      <c r="E77" s="29">
        <f t="shared" si="1"/>
        <v>13180.4</v>
      </c>
      <c r="F77" s="3"/>
      <c r="G77" s="316" t="s">
        <v>232</v>
      </c>
      <c r="H77" s="317"/>
      <c r="I77" s="306">
        <f>SUMIF($G$8:$G$64,G77,$E$8:$E$64)</f>
        <v>0</v>
      </c>
      <c r="J77" s="307"/>
      <c r="K77" s="24"/>
      <c r="M77" s="209" t="s">
        <v>344</v>
      </c>
    </row>
    <row r="78" spans="1:13">
      <c r="A78" s="27" t="s">
        <v>177</v>
      </c>
      <c r="B78" s="63"/>
      <c r="C78" s="63"/>
      <c r="D78" s="80"/>
      <c r="E78" s="29">
        <f t="shared" si="1"/>
        <v>0</v>
      </c>
      <c r="F78" s="3"/>
      <c r="G78" s="316" t="s">
        <v>234</v>
      </c>
      <c r="H78" s="317"/>
      <c r="I78" s="306">
        <f>SUMIF($G$8:$G$64,G78,$E$8:$E$64)</f>
        <v>80</v>
      </c>
      <c r="J78" s="307"/>
      <c r="K78" s="24"/>
    </row>
    <row r="79" spans="1:13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06">
        <f>SUMIF($G$8:$G$64,G79,$E$8:$E$64)</f>
        <v>0</v>
      </c>
      <c r="J79" s="307"/>
      <c r="K79" s="24"/>
    </row>
    <row r="80" spans="1:13">
      <c r="A80" s="27" t="s">
        <v>175</v>
      </c>
      <c r="B80" s="63"/>
      <c r="C80" s="63"/>
      <c r="D80" s="80"/>
      <c r="E80" s="29">
        <f t="shared" si="1"/>
        <v>12478.6</v>
      </c>
      <c r="F80" s="3"/>
      <c r="G80" s="47" t="s">
        <v>22</v>
      </c>
      <c r="H80" s="48"/>
      <c r="I80" s="302">
        <f>SUM(I75:J79)</f>
        <v>491929.11000000004</v>
      </c>
      <c r="J80" s="303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24128.34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230" t="s">
        <v>19</v>
      </c>
      <c r="H83" s="231"/>
      <c r="I83" s="306">
        <f>'CEF Dezembro 2019'!I92:J92</f>
        <v>274326.58999999991</v>
      </c>
      <c r="J83" s="307"/>
    </row>
    <row r="84" spans="1:11">
      <c r="A84" s="27" t="s">
        <v>270</v>
      </c>
      <c r="B84" s="63"/>
      <c r="C84" s="63"/>
      <c r="D84" s="80"/>
      <c r="E84" s="29">
        <f t="shared" si="1"/>
        <v>87946.1</v>
      </c>
      <c r="F84" s="3"/>
      <c r="G84" s="27" t="s">
        <v>149</v>
      </c>
      <c r="H84" s="231"/>
      <c r="I84" s="306">
        <f>SUMIF($G$8:$G$64,G84,$D$8:$D$64)</f>
        <v>202089</v>
      </c>
      <c r="J84" s="307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16" t="s">
        <v>145</v>
      </c>
      <c r="H85" s="317"/>
      <c r="I85" s="306">
        <f>-SUMIF($G$8:$G$64,G85,$E$8:$E$64)</f>
        <v>-198456.16000000003</v>
      </c>
      <c r="J85" s="307"/>
    </row>
    <row r="86" spans="1:11">
      <c r="A86" s="27" t="s">
        <v>29</v>
      </c>
      <c r="B86" s="63"/>
      <c r="C86" s="63"/>
      <c r="D86" s="80"/>
      <c r="E86" s="29">
        <f t="shared" si="1"/>
        <v>11872.75</v>
      </c>
      <c r="F86" s="3"/>
      <c r="G86" s="230" t="s">
        <v>30</v>
      </c>
      <c r="H86" s="231"/>
      <c r="I86" s="306">
        <v>1161</v>
      </c>
      <c r="J86" s="307"/>
    </row>
    <row r="87" spans="1:11">
      <c r="A87" s="27" t="s">
        <v>282</v>
      </c>
      <c r="B87" s="63"/>
      <c r="C87" s="63"/>
      <c r="D87" s="80"/>
      <c r="E87" s="29">
        <f t="shared" si="1"/>
        <v>0</v>
      </c>
      <c r="F87" s="3"/>
      <c r="G87" s="30"/>
      <c r="H87" s="31"/>
      <c r="I87" s="314"/>
      <c r="J87" s="315"/>
    </row>
    <row r="88" spans="1:11">
      <c r="A88" s="27" t="s">
        <v>273</v>
      </c>
      <c r="B88" s="63"/>
      <c r="C88" s="63"/>
      <c r="D88" s="80"/>
      <c r="E88" s="29">
        <f t="shared" si="1"/>
        <v>718.80000000000007</v>
      </c>
      <c r="F88" s="3"/>
      <c r="G88" s="32" t="s">
        <v>18</v>
      </c>
      <c r="H88" s="31"/>
      <c r="I88" s="310">
        <f>SUM(I83:J86)</f>
        <v>279120.42999999988</v>
      </c>
      <c r="J88" s="311"/>
    </row>
    <row r="89" spans="1:11">
      <c r="A89" s="27" t="s">
        <v>218</v>
      </c>
      <c r="B89" s="63"/>
      <c r="C89" s="63"/>
      <c r="D89" s="80"/>
      <c r="E89" s="29">
        <f t="shared" si="1"/>
        <v>1787.3</v>
      </c>
      <c r="F89" s="3"/>
      <c r="G89" s="49"/>
      <c r="H89" s="41"/>
      <c r="I89" s="41"/>
      <c r="J89" s="229"/>
      <c r="K89" s="24"/>
    </row>
    <row r="90" spans="1:11">
      <c r="A90" s="27" t="s">
        <v>231</v>
      </c>
      <c r="B90" s="63"/>
      <c r="C90" s="63"/>
      <c r="D90" s="80"/>
      <c r="E90" s="29">
        <f t="shared" si="1"/>
        <v>0</v>
      </c>
      <c r="F90" s="3"/>
      <c r="G90" s="53" t="s">
        <v>62</v>
      </c>
      <c r="H90" s="54"/>
      <c r="I90" s="312"/>
      <c r="J90" s="313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04">
        <f>'CEF Março 2019'!I88:J88</f>
        <v>0</v>
      </c>
      <c r="J91" s="305"/>
      <c r="K91" s="24"/>
    </row>
    <row r="92" spans="1:11">
      <c r="A92" s="27" t="s">
        <v>150</v>
      </c>
      <c r="B92" s="63"/>
      <c r="C92" s="63"/>
      <c r="D92" s="80"/>
      <c r="E92" s="29">
        <f t="shared" si="1"/>
        <v>469.2</v>
      </c>
      <c r="F92" s="3"/>
      <c r="G92" s="27" t="s">
        <v>48</v>
      </c>
      <c r="H92" s="231"/>
      <c r="I92" s="306">
        <f>SUMIF($G$8:$G$64,G92,$E$8:$E$64)</f>
        <v>0</v>
      </c>
      <c r="J92" s="307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230" t="s">
        <v>14</v>
      </c>
      <c r="H93" s="231"/>
      <c r="I93" s="306">
        <f>-SUMIF($G$8:$G$64,G93,$D$8:$D$64)</f>
        <v>0</v>
      </c>
      <c r="J93" s="307"/>
      <c r="K93" s="24"/>
    </row>
    <row r="94" spans="1:11">
      <c r="A94" s="27" t="s">
        <v>151</v>
      </c>
      <c r="B94" s="41"/>
      <c r="C94" s="41"/>
      <c r="D94" s="80"/>
      <c r="E94" s="29">
        <f t="shared" si="1"/>
        <v>14657.050000000001</v>
      </c>
      <c r="F94" s="3"/>
      <c r="G94" s="30"/>
      <c r="H94" s="31"/>
      <c r="I94" s="314"/>
      <c r="J94" s="315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02">
        <f>SUM(I91:J94)</f>
        <v>0</v>
      </c>
      <c r="J95" s="303"/>
      <c r="K95" s="24"/>
    </row>
    <row r="96" spans="1:11">
      <c r="A96" s="27" t="s">
        <v>176</v>
      </c>
      <c r="B96" s="63"/>
      <c r="C96" s="63"/>
      <c r="D96" s="80"/>
      <c r="E96" s="29">
        <f t="shared" si="1"/>
        <v>21190.510000000002</v>
      </c>
      <c r="F96" s="3"/>
      <c r="G96" s="49"/>
      <c r="H96" s="41"/>
      <c r="I96" s="41"/>
      <c r="J96" s="229"/>
      <c r="K96" s="24"/>
    </row>
    <row r="97" spans="1:13">
      <c r="A97" s="27" t="s">
        <v>272</v>
      </c>
      <c r="B97" s="63"/>
      <c r="C97" s="63"/>
      <c r="D97" s="80"/>
      <c r="E97" s="29">
        <f t="shared" si="1"/>
        <v>566.43000000000006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2228.2800000000002</v>
      </c>
      <c r="F98" s="3"/>
      <c r="G98" s="230" t="s">
        <v>19</v>
      </c>
      <c r="H98" s="231"/>
      <c r="I98" s="308">
        <f>'CEF Dezembro 2019'!I106:J106</f>
        <v>62677.36999999953</v>
      </c>
      <c r="J98" s="309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230" t="s">
        <v>362</v>
      </c>
      <c r="H99" s="231"/>
      <c r="I99" s="291">
        <f>249997.75+16000+16408.72+10986.48</f>
        <v>293392.94999999995</v>
      </c>
      <c r="J99" s="292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1455.8400000000001</v>
      </c>
      <c r="F100" s="3"/>
      <c r="G100" s="230" t="s">
        <v>147</v>
      </c>
      <c r="H100" s="231"/>
      <c r="I100" s="306">
        <f>-SUMIF($G$8:$G$64,G100,$E$8:$E$64)</f>
        <v>-293392.95</v>
      </c>
      <c r="J100" s="307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16743.650000000001</v>
      </c>
      <c r="F101" s="3"/>
      <c r="G101" s="30"/>
      <c r="H101" s="31"/>
      <c r="I101" s="300"/>
      <c r="J101" s="301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2319.9500000000003</v>
      </c>
      <c r="F102" s="3"/>
      <c r="G102" s="32" t="s">
        <v>18</v>
      </c>
      <c r="H102" s="31"/>
      <c r="I102" s="310">
        <f>SUM(I98:J101)</f>
        <v>62677.369999999471</v>
      </c>
      <c r="J102" s="311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77978.91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118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04">
        <f>'CEF Dezembro 2019'!I113:J113</f>
        <v>21190.510000000017</v>
      </c>
      <c r="J105" s="305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363</v>
      </c>
      <c r="H106" s="41"/>
      <c r="I106" s="306">
        <v>19386.939999999999</v>
      </c>
      <c r="J106" s="307"/>
      <c r="K106" s="24"/>
    </row>
    <row r="107" spans="1:13">
      <c r="A107" s="27" t="s">
        <v>331</v>
      </c>
      <c r="B107" s="63"/>
      <c r="C107" s="63"/>
      <c r="D107" s="80"/>
      <c r="E107" s="29">
        <f t="shared" si="1"/>
        <v>0</v>
      </c>
      <c r="F107" s="3"/>
      <c r="G107" s="27"/>
      <c r="H107" s="56"/>
      <c r="I107" s="306"/>
      <c r="J107" s="307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00">
        <f>-SUMIF($G$8:$G$64,G108,$D$8:$D$64)</f>
        <v>-21190.510000000002</v>
      </c>
      <c r="J108" s="301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02">
        <f>SUM(I105:J108)</f>
        <v>19386.94000000001</v>
      </c>
      <c r="J109" s="303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229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364</v>
      </c>
      <c r="H112" s="231"/>
      <c r="I112" s="291">
        <v>31060.73</v>
      </c>
      <c r="J112" s="292"/>
      <c r="K112" s="24"/>
    </row>
    <row r="113" spans="1:11">
      <c r="A113" s="297" t="s">
        <v>22</v>
      </c>
      <c r="B113" s="298"/>
      <c r="C113" s="298"/>
      <c r="D113" s="81"/>
      <c r="E113" s="35">
        <f>SUM(E75:E111)</f>
        <v>491929.1100000001</v>
      </c>
      <c r="F113" s="3"/>
      <c r="G113" s="27"/>
      <c r="H113" s="231"/>
      <c r="I113" s="291"/>
      <c r="J113" s="292"/>
      <c r="K113" s="24"/>
    </row>
    <row r="114" spans="1:11">
      <c r="E114" s="46">
        <f>D65-E113</f>
        <v>0</v>
      </c>
      <c r="F114" s="3"/>
      <c r="G114" s="27"/>
      <c r="H114" s="41"/>
      <c r="I114" s="295"/>
      <c r="J114" s="296"/>
      <c r="K114" s="24"/>
    </row>
    <row r="115" spans="1:11">
      <c r="F115" s="3"/>
      <c r="G115" s="89" t="s">
        <v>18</v>
      </c>
      <c r="H115" s="88"/>
      <c r="I115" s="302">
        <f>SUM(I112:J114)</f>
        <v>31060.73</v>
      </c>
      <c r="J115" s="303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20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274326.59000000003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1161</v>
      </c>
      <c r="C4" s="41"/>
      <c r="D4" s="144"/>
      <c r="E4" s="41"/>
      <c r="F4" s="41"/>
    </row>
    <row r="5" spans="1:6" ht="15.75" thickBot="1">
      <c r="A5" s="177"/>
      <c r="B5" s="129">
        <v>80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568960.54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f>136352.64</f>
        <v>136352.64000000001</v>
      </c>
      <c r="C11" s="115">
        <f>12478.6+24128.34+87946.1+11872.75+469.2+14657.05+566.43+1455.84</f>
        <v>153574.31</v>
      </c>
      <c r="D11" s="115"/>
      <c r="E11" s="166">
        <f t="shared" ref="E11:E27" si="0">C11+D11</f>
        <v>153574.31</v>
      </c>
      <c r="F11" s="134">
        <f>80296.75+17110.75+294217.77+937.24+3979.36+269.4</f>
        <v>396811.27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111996.98</v>
      </c>
      <c r="C17" s="115">
        <f>13180.4+718.8+1787.3+2228.28+16743.65+2319.95+77978.91</f>
        <v>114957.29000000001</v>
      </c>
      <c r="D17" s="115"/>
      <c r="E17" s="166">
        <f t="shared" si="0"/>
        <v>114957.29000000001</v>
      </c>
      <c r="F17" s="134">
        <f>14137.24+11978.46+111996.98</f>
        <v>138112.68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118</v>
      </c>
      <c r="C25" s="151"/>
      <c r="D25" s="115">
        <v>118</v>
      </c>
      <c r="E25" s="166">
        <f t="shared" si="0"/>
        <v>118</v>
      </c>
      <c r="F25" s="115"/>
    </row>
    <row r="26" spans="1:10" ht="24.95" customHeight="1" thickBot="1">
      <c r="A26" s="114" t="s">
        <v>196</v>
      </c>
      <c r="B26" s="111">
        <v>19386.939999999999</v>
      </c>
      <c r="C26" s="151">
        <v>21190.51</v>
      </c>
      <c r="D26" s="111"/>
      <c r="E26" s="166">
        <f t="shared" si="0"/>
        <v>21190.51</v>
      </c>
      <c r="F26" s="115">
        <v>19386.939999999999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267854.56</v>
      </c>
      <c r="C28" s="152">
        <f>SUM(C11:C27)</f>
        <v>289722.11</v>
      </c>
      <c r="D28" s="152">
        <f>SUM(D11:D27)</f>
        <v>118</v>
      </c>
      <c r="E28" s="152">
        <f>SUM(E11:E27)</f>
        <v>289840.11</v>
      </c>
      <c r="F28" s="152">
        <f>SUM(F11:F27)</f>
        <v>554310.8899999999</v>
      </c>
      <c r="H28" s="46">
        <f>1083878.33-529567.44</f>
        <v>554310.89000000013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202089</v>
      </c>
    </row>
    <row r="33" spans="1:7">
      <c r="A33" s="27" t="s">
        <v>174</v>
      </c>
      <c r="B33" s="221"/>
      <c r="C33" s="200"/>
      <c r="D33" s="201"/>
      <c r="E33" s="182">
        <v>13180.4</v>
      </c>
      <c r="F33" s="209" t="s">
        <v>144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12478.6</v>
      </c>
      <c r="F36" s="209" t="s">
        <v>144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32"/>
      <c r="D38" s="233"/>
      <c r="E38" s="182">
        <v>24128.34</v>
      </c>
      <c r="F38" s="209" t="s">
        <v>144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32"/>
      <c r="D40" s="233"/>
      <c r="E40" s="182">
        <v>87946.1</v>
      </c>
      <c r="F40" s="209" t="s">
        <v>144</v>
      </c>
    </row>
    <row r="41" spans="1:7">
      <c r="A41" s="27" t="s">
        <v>219</v>
      </c>
      <c r="B41" s="223"/>
      <c r="C41" s="232"/>
      <c r="D41" s="233"/>
      <c r="E41" s="182">
        <v>0</v>
      </c>
    </row>
    <row r="42" spans="1:7">
      <c r="A42" s="27" t="s">
        <v>29</v>
      </c>
      <c r="B42" s="223"/>
      <c r="C42" s="232"/>
      <c r="D42" s="233"/>
      <c r="E42" s="182">
        <v>11872.75</v>
      </c>
    </row>
    <row r="43" spans="1:7">
      <c r="A43" s="27" t="s">
        <v>282</v>
      </c>
      <c r="B43" s="223"/>
      <c r="C43" s="232"/>
      <c r="D43" s="233"/>
      <c r="E43" s="182">
        <v>0</v>
      </c>
    </row>
    <row r="44" spans="1:7">
      <c r="A44" s="27" t="s">
        <v>273</v>
      </c>
      <c r="B44" s="223"/>
      <c r="C44" s="232"/>
      <c r="D44" s="233"/>
      <c r="E44" s="182">
        <v>718.80000000000007</v>
      </c>
      <c r="F44" s="209" t="s">
        <v>144</v>
      </c>
    </row>
    <row r="45" spans="1:7">
      <c r="A45" s="27" t="s">
        <v>218</v>
      </c>
      <c r="B45" s="221"/>
      <c r="C45" s="200"/>
      <c r="D45" s="201"/>
      <c r="E45" s="182">
        <v>1787.3</v>
      </c>
      <c r="F45" s="209" t="s">
        <v>144</v>
      </c>
      <c r="G45" s="46"/>
    </row>
    <row r="46" spans="1:7">
      <c r="A46" s="27" t="s">
        <v>231</v>
      </c>
      <c r="B46" s="223"/>
      <c r="C46" s="232"/>
      <c r="D46" s="233"/>
      <c r="E46" s="182">
        <v>0</v>
      </c>
    </row>
    <row r="47" spans="1:7">
      <c r="A47" s="27" t="s">
        <v>28</v>
      </c>
      <c r="B47" s="223"/>
      <c r="C47" s="232"/>
      <c r="D47" s="233"/>
      <c r="E47" s="182">
        <v>0</v>
      </c>
    </row>
    <row r="48" spans="1:7">
      <c r="A48" s="27" t="s">
        <v>150</v>
      </c>
      <c r="B48" s="223"/>
      <c r="C48" s="232"/>
      <c r="D48" s="233"/>
      <c r="E48" s="182">
        <v>469.2</v>
      </c>
      <c r="F48" s="209" t="s">
        <v>144</v>
      </c>
    </row>
    <row r="49" spans="1:6">
      <c r="A49" s="27" t="s">
        <v>220</v>
      </c>
      <c r="B49" s="223"/>
      <c r="C49" s="232"/>
      <c r="D49" s="233"/>
      <c r="E49" s="182">
        <v>0</v>
      </c>
    </row>
    <row r="50" spans="1:6">
      <c r="A50" s="27" t="s">
        <v>151</v>
      </c>
      <c r="B50" s="223"/>
      <c r="C50" s="232"/>
      <c r="D50" s="233"/>
      <c r="E50" s="182">
        <v>14657.050000000001</v>
      </c>
      <c r="F50" s="209" t="s">
        <v>144</v>
      </c>
    </row>
    <row r="51" spans="1:6">
      <c r="A51" s="27" t="s">
        <v>49</v>
      </c>
      <c r="B51" s="223"/>
      <c r="C51" s="232"/>
      <c r="D51" s="233"/>
      <c r="E51" s="182">
        <v>0</v>
      </c>
    </row>
    <row r="52" spans="1:6">
      <c r="A52" s="27" t="s">
        <v>176</v>
      </c>
      <c r="B52" s="223"/>
      <c r="C52" s="232"/>
      <c r="D52" s="233"/>
      <c r="E52" s="182">
        <v>21190.510000000002</v>
      </c>
      <c r="F52" s="209" t="s">
        <v>144</v>
      </c>
    </row>
    <row r="53" spans="1:6">
      <c r="A53" s="27" t="s">
        <v>272</v>
      </c>
      <c r="B53" s="223"/>
      <c r="C53" s="232"/>
      <c r="D53" s="233"/>
      <c r="E53" s="182">
        <v>566.43000000000006</v>
      </c>
      <c r="F53" s="209" t="s">
        <v>144</v>
      </c>
    </row>
    <row r="54" spans="1:6">
      <c r="A54" s="27" t="s">
        <v>43</v>
      </c>
      <c r="B54" s="223"/>
      <c r="C54" s="232"/>
      <c r="D54" s="233"/>
      <c r="E54" s="182">
        <v>2228.2800000000002</v>
      </c>
      <c r="F54" s="209" t="s">
        <v>144</v>
      </c>
    </row>
    <row r="55" spans="1:6">
      <c r="A55" s="27" t="s">
        <v>274</v>
      </c>
      <c r="B55" s="223"/>
      <c r="C55" s="232"/>
      <c r="D55" s="233"/>
      <c r="E55" s="182">
        <v>0</v>
      </c>
    </row>
    <row r="56" spans="1:6">
      <c r="A56" s="27" t="s">
        <v>179</v>
      </c>
      <c r="B56" s="223"/>
      <c r="C56" s="232"/>
      <c r="D56" s="233"/>
      <c r="E56" s="182">
        <v>1455.8400000000001</v>
      </c>
      <c r="F56" s="209" t="s">
        <v>144</v>
      </c>
    </row>
    <row r="57" spans="1:6">
      <c r="A57" s="27" t="s">
        <v>146</v>
      </c>
      <c r="B57" s="223"/>
      <c r="C57" s="232"/>
      <c r="D57" s="233"/>
      <c r="E57" s="182">
        <v>16743.650000000001</v>
      </c>
      <c r="F57" s="209" t="s">
        <v>144</v>
      </c>
    </row>
    <row r="58" spans="1:6">
      <c r="A58" s="27" t="s">
        <v>34</v>
      </c>
      <c r="B58" s="223"/>
      <c r="C58" s="232"/>
      <c r="D58" s="233"/>
      <c r="E58" s="182">
        <v>2319.9500000000003</v>
      </c>
      <c r="F58" s="209" t="s">
        <v>144</v>
      </c>
    </row>
    <row r="59" spans="1:6">
      <c r="A59" s="27" t="s">
        <v>178</v>
      </c>
      <c r="B59" s="223"/>
      <c r="C59" s="232"/>
      <c r="D59" s="233"/>
      <c r="E59" s="182">
        <v>77978.91</v>
      </c>
      <c r="F59" s="209" t="s">
        <v>144</v>
      </c>
    </row>
    <row r="60" spans="1:6">
      <c r="A60" s="27" t="s">
        <v>72</v>
      </c>
      <c r="B60" s="223"/>
      <c r="C60" s="232"/>
      <c r="D60" s="233"/>
      <c r="E60" s="182">
        <v>118</v>
      </c>
      <c r="F60" s="209" t="s">
        <v>144</v>
      </c>
    </row>
    <row r="61" spans="1:6">
      <c r="A61" s="27" t="s">
        <v>307</v>
      </c>
      <c r="B61" s="223"/>
      <c r="C61" s="232"/>
      <c r="D61" s="233"/>
      <c r="E61" s="182">
        <v>0</v>
      </c>
    </row>
    <row r="62" spans="1:6">
      <c r="A62" s="27" t="s">
        <v>120</v>
      </c>
      <c r="B62" s="223"/>
      <c r="C62" s="232"/>
      <c r="D62" s="233"/>
      <c r="E62" s="182">
        <v>0</v>
      </c>
    </row>
    <row r="63" spans="1:6">
      <c r="A63" s="27" t="s">
        <v>331</v>
      </c>
      <c r="B63" s="223"/>
      <c r="C63" s="232"/>
      <c r="D63" s="233"/>
      <c r="E63" s="182">
        <v>0</v>
      </c>
    </row>
    <row r="64" spans="1:6">
      <c r="A64" s="27"/>
      <c r="B64" s="220"/>
      <c r="C64" s="232"/>
      <c r="D64" s="233"/>
      <c r="E64" s="183"/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289840.11</v>
      </c>
    </row>
    <row r="68" spans="1:6" ht="15.75" thickBot="1">
      <c r="E68" s="46">
        <f>E66-E7</f>
        <v>289840.11</v>
      </c>
    </row>
    <row r="69" spans="1:6" ht="23.25" thickBot="1">
      <c r="A69" s="154" t="s">
        <v>258</v>
      </c>
      <c r="B69" s="95">
        <f>B7</f>
        <v>568960.54</v>
      </c>
    </row>
    <row r="70" spans="1:6" ht="23.25" thickBot="1">
      <c r="A70" s="155" t="s">
        <v>259</v>
      </c>
      <c r="B70" s="98">
        <f>E66</f>
        <v>289840.11</v>
      </c>
    </row>
    <row r="71" spans="1:6" ht="23.25" thickBot="1">
      <c r="A71" s="155" t="s">
        <v>260</v>
      </c>
      <c r="B71" s="98">
        <f>B69-B70</f>
        <v>279120.43000000005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279120.43000000005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16" workbookViewId="0">
      <selection activeCell="B113" sqref="B113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365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2020'!F65</f>
        <v>0</v>
      </c>
      <c r="G9" s="9"/>
      <c r="H9" s="7"/>
      <c r="I9" s="4"/>
      <c r="J9" s="19"/>
      <c r="K9" s="16"/>
    </row>
    <row r="10" spans="1:11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f t="shared" ref="F10:F56" si="0">F9-D10+E10</f>
        <v>12190</v>
      </c>
      <c r="G10" s="9" t="s">
        <v>145</v>
      </c>
      <c r="H10" s="7"/>
      <c r="I10" s="4"/>
      <c r="J10" s="19"/>
      <c r="K10" s="16"/>
    </row>
    <row r="11" spans="1:11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f t="shared" si="0"/>
        <v>-1947.24</v>
      </c>
      <c r="G12" s="9" t="s">
        <v>174</v>
      </c>
      <c r="H12" s="7" t="s">
        <v>310</v>
      </c>
      <c r="I12" s="4">
        <v>67</v>
      </c>
      <c r="J12" s="19">
        <v>8</v>
      </c>
      <c r="K12" s="16">
        <v>43847</v>
      </c>
    </row>
    <row r="13" spans="1:11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f t="shared" si="0"/>
        <v>99</v>
      </c>
      <c r="G14" s="9" t="s">
        <v>145</v>
      </c>
      <c r="H14" s="7"/>
      <c r="I14" s="4"/>
      <c r="J14" s="19"/>
      <c r="K14" s="16"/>
    </row>
    <row r="15" spans="1:11">
      <c r="A15" s="15">
        <v>43866</v>
      </c>
      <c r="B15" s="4">
        <v>12020</v>
      </c>
      <c r="C15" s="4" t="s">
        <v>188</v>
      </c>
      <c r="D15" s="77">
        <v>99</v>
      </c>
      <c r="E15" s="5"/>
      <c r="F15" s="6">
        <f t="shared" si="0"/>
        <v>0</v>
      </c>
      <c r="G15" s="9" t="s">
        <v>72</v>
      </c>
      <c r="H15" s="7"/>
      <c r="I15" s="4"/>
      <c r="J15" s="19"/>
      <c r="K15" s="16"/>
    </row>
    <row r="16" spans="1:11">
      <c r="A16" s="15">
        <v>43867</v>
      </c>
      <c r="B16" s="4">
        <v>309379</v>
      </c>
      <c r="C16" s="4" t="s">
        <v>172</v>
      </c>
      <c r="D16" s="77">
        <v>80296.75</v>
      </c>
      <c r="E16" s="5"/>
      <c r="F16" s="6">
        <f t="shared" si="0"/>
        <v>-80296.75</v>
      </c>
      <c r="G16" s="9" t="s">
        <v>270</v>
      </c>
      <c r="H16" s="7"/>
      <c r="I16" s="4"/>
      <c r="J16" s="19"/>
      <c r="K16" s="16"/>
    </row>
    <row r="17" spans="1:11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f t="shared" si="0"/>
        <v>-80792.39</v>
      </c>
      <c r="G17" s="9" t="s">
        <v>272</v>
      </c>
      <c r="H17" s="7" t="s">
        <v>117</v>
      </c>
      <c r="I17" s="4">
        <v>15</v>
      </c>
      <c r="J17" s="19">
        <v>1</v>
      </c>
      <c r="K17" s="16">
        <v>43867</v>
      </c>
    </row>
    <row r="18" spans="1:11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f t="shared" si="0"/>
        <v>-3979.36</v>
      </c>
      <c r="G19" s="9" t="s">
        <v>271</v>
      </c>
      <c r="H19" s="7" t="s">
        <v>88</v>
      </c>
      <c r="I19" s="4"/>
      <c r="J19" s="19"/>
      <c r="K19" s="16"/>
    </row>
    <row r="20" spans="1:11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f t="shared" si="0"/>
        <v>83338.66</v>
      </c>
      <c r="G20" s="9" t="s">
        <v>147</v>
      </c>
      <c r="H20" s="7"/>
      <c r="I20" s="4"/>
      <c r="J20" s="19"/>
      <c r="K20" s="16"/>
    </row>
    <row r="21" spans="1:11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289413.58999999997</v>
      </c>
      <c r="G21" s="9" t="s">
        <v>147</v>
      </c>
      <c r="H21" s="7"/>
      <c r="I21" s="4"/>
      <c r="J21" s="19"/>
      <c r="K21" s="16"/>
    </row>
    <row r="22" spans="1:11">
      <c r="A22" s="15">
        <v>43871</v>
      </c>
      <c r="B22" s="4">
        <v>509820</v>
      </c>
      <c r="C22" s="4" t="s">
        <v>216</v>
      </c>
      <c r="D22" s="77">
        <v>1977.5800000000002</v>
      </c>
      <c r="E22" s="5"/>
      <c r="F22" s="6">
        <f t="shared" si="0"/>
        <v>287436.00999999995</v>
      </c>
      <c r="G22" s="9" t="s">
        <v>218</v>
      </c>
      <c r="H22" s="7" t="s">
        <v>222</v>
      </c>
      <c r="I22" s="4">
        <v>889311138</v>
      </c>
      <c r="J22" s="19">
        <v>1</v>
      </c>
      <c r="K22" s="16"/>
    </row>
    <row r="23" spans="1:11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f t="shared" si="0"/>
        <v>36.009999999951106</v>
      </c>
      <c r="G23" s="9" t="s">
        <v>149</v>
      </c>
      <c r="H23" s="7"/>
      <c r="I23" s="4"/>
      <c r="J23" s="19"/>
      <c r="K23" s="16"/>
    </row>
    <row r="24" spans="1:11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f t="shared" si="0"/>
        <v>-9621.4600000000482</v>
      </c>
      <c r="G24" s="9" t="s">
        <v>174</v>
      </c>
      <c r="H24" s="7" t="s">
        <v>351</v>
      </c>
      <c r="I24" s="4">
        <v>26</v>
      </c>
      <c r="J24" s="19">
        <v>3</v>
      </c>
      <c r="K24" s="16">
        <v>43871</v>
      </c>
    </row>
    <row r="25" spans="1:11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f t="shared" si="0"/>
        <v>76259.059999999954</v>
      </c>
      <c r="G25" s="9" t="s">
        <v>145</v>
      </c>
      <c r="H25" s="7"/>
      <c r="I25" s="4"/>
      <c r="J25" s="19"/>
      <c r="K25" s="16"/>
    </row>
    <row r="26" spans="1:11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f t="shared" si="0"/>
        <v>71191.15999999996</v>
      </c>
      <c r="G26" s="9" t="s">
        <v>174</v>
      </c>
      <c r="H26" s="7" t="s">
        <v>341</v>
      </c>
      <c r="I26" s="4">
        <v>297</v>
      </c>
      <c r="J26" s="19">
        <v>5</v>
      </c>
      <c r="K26" s="16">
        <v>43871</v>
      </c>
    </row>
    <row r="27" spans="1:11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f t="shared" si="0"/>
        <v>57454.639999999956</v>
      </c>
      <c r="G27" s="9" t="s">
        <v>174</v>
      </c>
      <c r="H27" s="7" t="s">
        <v>342</v>
      </c>
      <c r="I27" s="4">
        <v>5</v>
      </c>
      <c r="J27" s="19">
        <v>5</v>
      </c>
      <c r="K27" s="16">
        <v>43871</v>
      </c>
    </row>
    <row r="28" spans="1:11">
      <c r="A28" s="15">
        <v>43875</v>
      </c>
      <c r="B28" s="4">
        <v>300270</v>
      </c>
      <c r="C28" s="4" t="s">
        <v>367</v>
      </c>
      <c r="D28" s="77"/>
      <c r="E28" s="77">
        <v>5887.08</v>
      </c>
      <c r="F28" s="6">
        <f t="shared" si="0"/>
        <v>63341.719999999958</v>
      </c>
      <c r="G28" s="9" t="s">
        <v>368</v>
      </c>
      <c r="H28" s="7" t="s">
        <v>352</v>
      </c>
      <c r="I28" s="4">
        <v>43</v>
      </c>
      <c r="J28" s="19"/>
      <c r="K28" s="16">
        <v>43871</v>
      </c>
    </row>
    <row r="29" spans="1:11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f t="shared" si="0"/>
        <v>57454.639999999956</v>
      </c>
      <c r="G29" s="9" t="s">
        <v>368</v>
      </c>
      <c r="H29" s="7" t="s">
        <v>352</v>
      </c>
      <c r="I29" s="4">
        <v>43</v>
      </c>
      <c r="J29" s="19">
        <v>3</v>
      </c>
      <c r="K29" s="16">
        <v>43871</v>
      </c>
    </row>
    <row r="30" spans="1:11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f t="shared" si="0"/>
        <v>42138.319999999956</v>
      </c>
      <c r="G30" s="9" t="s">
        <v>174</v>
      </c>
      <c r="H30" s="7" t="s">
        <v>127</v>
      </c>
      <c r="I30" s="4">
        <v>84</v>
      </c>
      <c r="J30" s="19">
        <v>10</v>
      </c>
      <c r="K30" s="16">
        <v>43871</v>
      </c>
    </row>
    <row r="31" spans="1:11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f t="shared" si="0"/>
        <v>37818.319999999956</v>
      </c>
      <c r="G31" s="9" t="s">
        <v>368</v>
      </c>
      <c r="H31" s="7" t="s">
        <v>302</v>
      </c>
      <c r="I31" s="4">
        <v>110</v>
      </c>
      <c r="J31" s="19">
        <v>10</v>
      </c>
      <c r="K31" s="16">
        <v>43871</v>
      </c>
    </row>
    <row r="32" spans="1:11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f t="shared" si="0"/>
        <v>28987.699999999953</v>
      </c>
      <c r="G32" s="9" t="s">
        <v>174</v>
      </c>
      <c r="H32" s="7" t="s">
        <v>224</v>
      </c>
      <c r="I32" s="4">
        <v>44</v>
      </c>
      <c r="J32" s="19">
        <v>6</v>
      </c>
      <c r="K32" s="16">
        <v>43868</v>
      </c>
    </row>
    <row r="33" spans="1:11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f t="shared" si="0"/>
        <v>18422.059999999954</v>
      </c>
      <c r="G33" s="9" t="s">
        <v>174</v>
      </c>
      <c r="H33" s="7" t="s">
        <v>183</v>
      </c>
      <c r="I33" s="4">
        <v>46</v>
      </c>
      <c r="J33" s="19">
        <v>8</v>
      </c>
      <c r="K33" s="16">
        <v>43871</v>
      </c>
    </row>
    <row r="34" spans="1:11">
      <c r="A34" s="15">
        <v>43875</v>
      </c>
      <c r="B34" s="4">
        <v>300269</v>
      </c>
      <c r="C34" s="4" t="s">
        <v>367</v>
      </c>
      <c r="D34" s="77"/>
      <c r="E34" s="77">
        <v>4320</v>
      </c>
      <c r="F34" s="6">
        <f t="shared" si="0"/>
        <v>22742.059999999954</v>
      </c>
      <c r="G34" s="9" t="s">
        <v>368</v>
      </c>
      <c r="H34" s="7" t="s">
        <v>302</v>
      </c>
      <c r="I34" s="4">
        <v>110</v>
      </c>
      <c r="J34" s="19"/>
      <c r="K34" s="16">
        <v>43871</v>
      </c>
    </row>
    <row r="35" spans="1:11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f t="shared" si="0"/>
        <v>10207.079999999954</v>
      </c>
      <c r="G35" s="9" t="s">
        <v>174</v>
      </c>
      <c r="H35" s="7" t="s">
        <v>128</v>
      </c>
      <c r="I35" s="4">
        <v>57</v>
      </c>
      <c r="J35" s="19">
        <v>17</v>
      </c>
      <c r="K35" s="16">
        <v>43871</v>
      </c>
    </row>
    <row r="36" spans="1:11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f t="shared" si="0"/>
        <v>10206.729999999954</v>
      </c>
      <c r="G36" s="9" t="s">
        <v>72</v>
      </c>
      <c r="H36" s="7"/>
      <c r="I36" s="4"/>
      <c r="J36" s="19"/>
      <c r="K36" s="16"/>
    </row>
    <row r="37" spans="1:11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f t="shared" si="0"/>
        <v>10206.379999999954</v>
      </c>
      <c r="G37" s="9" t="s">
        <v>72</v>
      </c>
      <c r="H37" s="7"/>
      <c r="I37" s="4"/>
      <c r="J37" s="19"/>
      <c r="K37" s="16"/>
    </row>
    <row r="38" spans="1:11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f t="shared" si="0"/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f t="shared" si="0"/>
        <v>4435.3999999999533</v>
      </c>
      <c r="G39" s="9" t="s">
        <v>174</v>
      </c>
      <c r="H39" s="7" t="s">
        <v>189</v>
      </c>
      <c r="I39" s="4">
        <v>21</v>
      </c>
      <c r="J39" s="19">
        <v>18</v>
      </c>
      <c r="K39" s="16">
        <v>43871</v>
      </c>
    </row>
    <row r="40" spans="1:11">
      <c r="A40" s="15">
        <v>43879</v>
      </c>
      <c r="B40" s="4">
        <v>181607</v>
      </c>
      <c r="C40" s="4" t="s">
        <v>173</v>
      </c>
      <c r="D40" s="77">
        <v>2352</v>
      </c>
      <c r="E40" s="5"/>
      <c r="F40" s="6">
        <f t="shared" si="0"/>
        <v>2083.3999999999533</v>
      </c>
      <c r="G40" s="9" t="s">
        <v>178</v>
      </c>
      <c r="H40" s="7" t="s">
        <v>223</v>
      </c>
      <c r="I40" s="4">
        <v>565</v>
      </c>
      <c r="J40" s="19">
        <v>9</v>
      </c>
      <c r="K40" s="16">
        <v>43866</v>
      </c>
    </row>
    <row r="41" spans="1:11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f t="shared" si="0"/>
        <v>3586.429999999953</v>
      </c>
      <c r="G41" s="9" t="s">
        <v>145</v>
      </c>
      <c r="H41" s="7"/>
      <c r="I41" s="4"/>
      <c r="J41" s="19"/>
      <c r="K41" s="16"/>
    </row>
    <row r="42" spans="1:11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f t="shared" si="0"/>
        <v>-4.7293724492192268E-11</v>
      </c>
      <c r="G42" s="9" t="s">
        <v>179</v>
      </c>
      <c r="H42" s="7" t="s">
        <v>353</v>
      </c>
      <c r="I42" s="4"/>
      <c r="J42" s="19"/>
      <c r="K42" s="16"/>
    </row>
    <row r="43" spans="1:11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f t="shared" si="0"/>
        <v>-3131.3600000000474</v>
      </c>
      <c r="G43" s="9" t="s">
        <v>282</v>
      </c>
      <c r="H43" s="7" t="s">
        <v>256</v>
      </c>
      <c r="I43" s="4">
        <v>124</v>
      </c>
      <c r="J43" s="19">
        <v>1</v>
      </c>
      <c r="K43" s="16">
        <v>43871</v>
      </c>
    </row>
    <row r="44" spans="1:11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f t="shared" si="0"/>
        <v>-4079.5900000000474</v>
      </c>
      <c r="G44" s="9" t="s">
        <v>273</v>
      </c>
      <c r="H44" s="7" t="s">
        <v>257</v>
      </c>
      <c r="I44" s="4">
        <v>22</v>
      </c>
      <c r="J44" s="19">
        <v>1</v>
      </c>
      <c r="K44" s="16">
        <v>43879</v>
      </c>
    </row>
    <row r="45" spans="1:11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f t="shared" si="0"/>
        <v>-4521.1900000000478</v>
      </c>
      <c r="G45" s="9" t="s">
        <v>150</v>
      </c>
      <c r="H45" s="7" t="s">
        <v>161</v>
      </c>
      <c r="I45" s="4">
        <v>1590729</v>
      </c>
      <c r="J45" s="19">
        <v>1</v>
      </c>
      <c r="K45" s="16">
        <v>43871</v>
      </c>
    </row>
    <row r="46" spans="1:11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f t="shared" si="0"/>
        <v>-4541.4000000000478</v>
      </c>
      <c r="G46" s="9" t="s">
        <v>282</v>
      </c>
      <c r="H46" s="7" t="s">
        <v>256</v>
      </c>
      <c r="I46" s="4">
        <v>129</v>
      </c>
      <c r="J46" s="19">
        <v>1</v>
      </c>
      <c r="K46" s="16">
        <v>43872</v>
      </c>
    </row>
    <row r="47" spans="1:11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f t="shared" si="0"/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f t="shared" si="0"/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f t="shared" si="0"/>
        <v>2016.839999999951</v>
      </c>
      <c r="G49" s="9" t="s">
        <v>145</v>
      </c>
      <c r="H49" s="7"/>
      <c r="I49" s="4"/>
      <c r="J49" s="19"/>
      <c r="K49" s="16"/>
    </row>
    <row r="50" spans="1:11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f t="shared" si="0"/>
        <v>-4.9112713895738125E-11</v>
      </c>
      <c r="G50" s="9" t="s">
        <v>282</v>
      </c>
      <c r="H50" s="7" t="s">
        <v>256</v>
      </c>
      <c r="I50" s="4">
        <v>126</v>
      </c>
      <c r="J50" s="19">
        <v>1</v>
      </c>
      <c r="K50" s="16">
        <v>43871</v>
      </c>
    </row>
    <row r="51" spans="1:11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f t="shared" si="0"/>
        <v>-9166.660000000049</v>
      </c>
      <c r="G51" s="9" t="s">
        <v>174</v>
      </c>
      <c r="H51" s="7" t="s">
        <v>369</v>
      </c>
      <c r="I51" s="4">
        <v>3</v>
      </c>
      <c r="J51" s="19">
        <v>1</v>
      </c>
      <c r="K51" s="16">
        <v>43880</v>
      </c>
    </row>
    <row r="52" spans="1:11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f t="shared" si="0"/>
        <v>-4.9112713895738125E-11</v>
      </c>
      <c r="G52" s="9" t="s">
        <v>145</v>
      </c>
      <c r="H52" s="7"/>
      <c r="I52" s="4"/>
      <c r="J52" s="19"/>
      <c r="K52" s="16"/>
    </row>
    <row r="53" spans="1:11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f t="shared" si="0"/>
        <v>4319.9999999999509</v>
      </c>
      <c r="G53" s="9" t="s">
        <v>145</v>
      </c>
      <c r="H53" s="7"/>
      <c r="I53" s="4"/>
      <c r="J53" s="19"/>
      <c r="K53" s="16"/>
    </row>
    <row r="54" spans="1:11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f t="shared" si="0"/>
        <v>-4.9112713895738125E-11</v>
      </c>
      <c r="G54" s="9" t="s">
        <v>174</v>
      </c>
      <c r="H54" s="7" t="s">
        <v>302</v>
      </c>
      <c r="I54" s="4">
        <v>110</v>
      </c>
      <c r="J54" s="19">
        <v>10</v>
      </c>
      <c r="K54" s="16">
        <v>43871</v>
      </c>
    </row>
    <row r="55" spans="1:11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f t="shared" si="0"/>
        <v>-19386.940000000046</v>
      </c>
      <c r="G55" s="9" t="s">
        <v>176</v>
      </c>
      <c r="H55" s="7"/>
      <c r="I55" s="4"/>
      <c r="J55" s="19"/>
      <c r="K55" s="16"/>
    </row>
    <row r="56" spans="1:11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f t="shared" si="0"/>
        <v>-4.7293724492192268E-11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24" t="s">
        <v>12</v>
      </c>
      <c r="B58" s="325"/>
      <c r="C58" s="21"/>
      <c r="D58" s="78">
        <f>SUM(D10:D57)</f>
        <v>536183.22</v>
      </c>
      <c r="E58" s="40">
        <f>SUM(E10:E57)</f>
        <v>536183.22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99" t="s">
        <v>123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</row>
    <row r="64" spans="1:11" ht="18" customHeight="1"/>
    <row r="65" spans="1:13" ht="18" customHeight="1">
      <c r="A65" s="318" t="s">
        <v>366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</row>
    <row r="66" spans="1:13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19" t="s">
        <v>21</v>
      </c>
      <c r="B67" s="320"/>
      <c r="C67" s="320"/>
      <c r="D67" s="320"/>
      <c r="E67" s="321"/>
      <c r="F67" s="3"/>
      <c r="G67" s="322" t="s">
        <v>20</v>
      </c>
      <c r="H67" s="322"/>
      <c r="I67" s="322"/>
      <c r="J67" s="322"/>
      <c r="K67" s="24"/>
    </row>
    <row r="68" spans="1:13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06">
        <f>SUMIF($G$8:$G$57,G68,$E$8:$E$57)</f>
        <v>293392.95</v>
      </c>
      <c r="J68" s="307"/>
      <c r="K68" s="24"/>
    </row>
    <row r="69" spans="1:13">
      <c r="A69" s="27" t="s">
        <v>149</v>
      </c>
      <c r="B69" s="63"/>
      <c r="C69" s="63"/>
      <c r="D69" s="80"/>
      <c r="E69" s="29">
        <f t="shared" si="1"/>
        <v>287400</v>
      </c>
      <c r="F69" s="3"/>
      <c r="G69" s="316" t="s">
        <v>145</v>
      </c>
      <c r="H69" s="317"/>
      <c r="I69" s="306">
        <f>SUMIF($G$8:$G$57,G69,$E$8:$E$57)</f>
        <v>232583.19000000003</v>
      </c>
      <c r="J69" s="307"/>
      <c r="K69" s="24"/>
    </row>
    <row r="70" spans="1:13">
      <c r="A70" s="27" t="s">
        <v>174</v>
      </c>
      <c r="B70" s="63"/>
      <c r="C70" s="63"/>
      <c r="D70" s="80"/>
      <c r="E70" s="29">
        <f t="shared" si="1"/>
        <v>95748.89</v>
      </c>
      <c r="F70" s="3"/>
      <c r="G70" s="316" t="s">
        <v>368</v>
      </c>
      <c r="H70" s="317"/>
      <c r="I70" s="306">
        <f>SUMIF($G$8:$G$57,G70,$E$8:$E$57)</f>
        <v>10207.08</v>
      </c>
      <c r="J70" s="307"/>
      <c r="K70" s="24"/>
      <c r="M70" s="209" t="s">
        <v>344</v>
      </c>
    </row>
    <row r="71" spans="1:13">
      <c r="A71" s="27" t="s">
        <v>177</v>
      </c>
      <c r="B71" s="63"/>
      <c r="C71" s="63"/>
      <c r="D71" s="80"/>
      <c r="E71" s="29">
        <f t="shared" si="1"/>
        <v>0</v>
      </c>
      <c r="F71" s="3"/>
      <c r="G71" s="316" t="s">
        <v>234</v>
      </c>
      <c r="H71" s="317"/>
      <c r="I71" s="306">
        <f>SUMIF($G$8:$G$57,G71,$E$8:$E$57)</f>
        <v>0</v>
      </c>
      <c r="J71" s="307"/>
      <c r="K71" s="24"/>
    </row>
    <row r="72" spans="1:13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06">
        <f>SUMIF($G$8:$G$57,G72,$E$8:$E$57)</f>
        <v>0</v>
      </c>
      <c r="J72" s="307"/>
      <c r="K72" s="24"/>
    </row>
    <row r="73" spans="1:13">
      <c r="A73" s="27" t="s">
        <v>175</v>
      </c>
      <c r="B73" s="63"/>
      <c r="C73" s="63"/>
      <c r="D73" s="80"/>
      <c r="E73" s="29">
        <f t="shared" si="1"/>
        <v>12190</v>
      </c>
      <c r="F73" s="3"/>
      <c r="G73" s="47" t="s">
        <v>22</v>
      </c>
      <c r="H73" s="48"/>
      <c r="I73" s="302">
        <f>SUM(I68:J72)</f>
        <v>536183.22</v>
      </c>
      <c r="J73" s="303"/>
      <c r="K73" s="61">
        <f>E58-I73</f>
        <v>0</v>
      </c>
    </row>
    <row r="74" spans="1:13">
      <c r="A74" s="62" t="s">
        <v>368</v>
      </c>
      <c r="B74" s="63"/>
      <c r="C74" s="63"/>
      <c r="D74" s="80"/>
      <c r="E74" s="29">
        <f t="shared" si="1"/>
        <v>10207.08</v>
      </c>
      <c r="F74" s="3"/>
      <c r="G74" s="70"/>
      <c r="H74" s="45"/>
      <c r="I74" s="69"/>
      <c r="J74" s="71"/>
      <c r="K74" s="24"/>
    </row>
    <row r="75" spans="1:13">
      <c r="A75" s="27" t="s">
        <v>271</v>
      </c>
      <c r="B75" s="63"/>
      <c r="C75" s="63"/>
      <c r="D75" s="80"/>
      <c r="E75" s="29">
        <f t="shared" si="1"/>
        <v>3979.36</v>
      </c>
      <c r="F75" s="3"/>
      <c r="G75" s="36" t="s">
        <v>64</v>
      </c>
      <c r="H75" s="37"/>
      <c r="I75" s="66"/>
      <c r="J75" s="67"/>
    </row>
    <row r="76" spans="1:13">
      <c r="A76" s="27" t="s">
        <v>25</v>
      </c>
      <c r="B76" s="63"/>
      <c r="C76" s="63"/>
      <c r="D76" s="80"/>
      <c r="E76" s="29">
        <f t="shared" si="1"/>
        <v>1165.44</v>
      </c>
      <c r="F76" s="3"/>
      <c r="G76" s="235" t="s">
        <v>19</v>
      </c>
      <c r="H76" s="236"/>
      <c r="I76" s="306">
        <f>'CEF Janeiro 2020'!I88:J88</f>
        <v>279120.42999999988</v>
      </c>
      <c r="J76" s="307"/>
    </row>
    <row r="77" spans="1:13">
      <c r="A77" s="27" t="s">
        <v>270</v>
      </c>
      <c r="B77" s="63"/>
      <c r="C77" s="63"/>
      <c r="D77" s="80"/>
      <c r="E77" s="29">
        <f t="shared" si="1"/>
        <v>80296.75</v>
      </c>
      <c r="F77" s="3"/>
      <c r="G77" s="27" t="s">
        <v>149</v>
      </c>
      <c r="H77" s="236"/>
      <c r="I77" s="306">
        <f>SUMIF($G$8:$G$57,G77,$D$8:$D$57)</f>
        <v>287400</v>
      </c>
      <c r="J77" s="307"/>
    </row>
    <row r="78" spans="1:13">
      <c r="A78" s="27" t="s">
        <v>219</v>
      </c>
      <c r="B78" s="63"/>
      <c r="C78" s="63"/>
      <c r="D78" s="80"/>
      <c r="E78" s="29">
        <f t="shared" si="1"/>
        <v>0</v>
      </c>
      <c r="F78" s="3"/>
      <c r="G78" s="316" t="s">
        <v>145</v>
      </c>
      <c r="H78" s="317"/>
      <c r="I78" s="306">
        <f>-SUMIF($G$8:$G$57,G78,$E$8:$E$57)</f>
        <v>-232583.19000000003</v>
      </c>
      <c r="J78" s="307"/>
    </row>
    <row r="79" spans="1:13">
      <c r="A79" s="27" t="s">
        <v>29</v>
      </c>
      <c r="B79" s="63"/>
      <c r="C79" s="63"/>
      <c r="D79" s="80"/>
      <c r="E79" s="29">
        <f t="shared" si="1"/>
        <v>7799.6500000000005</v>
      </c>
      <c r="F79" s="3"/>
      <c r="G79" s="235" t="s">
        <v>30</v>
      </c>
      <c r="H79" s="236"/>
      <c r="I79" s="306">
        <v>827.28</v>
      </c>
      <c r="J79" s="307"/>
    </row>
    <row r="80" spans="1:13">
      <c r="A80" s="27" t="s">
        <v>282</v>
      </c>
      <c r="B80" s="63"/>
      <c r="C80" s="63"/>
      <c r="D80" s="80"/>
      <c r="E80" s="29">
        <f t="shared" si="1"/>
        <v>5168.41</v>
      </c>
      <c r="F80" s="3"/>
      <c r="G80" s="30"/>
      <c r="H80" s="31"/>
      <c r="I80" s="314"/>
      <c r="J80" s="315"/>
    </row>
    <row r="81" spans="1:13">
      <c r="A81" s="27" t="s">
        <v>273</v>
      </c>
      <c r="B81" s="63"/>
      <c r="C81" s="63"/>
      <c r="D81" s="80"/>
      <c r="E81" s="29">
        <f t="shared" si="1"/>
        <v>948.23</v>
      </c>
      <c r="F81" s="3"/>
      <c r="G81" s="32" t="s">
        <v>18</v>
      </c>
      <c r="H81" s="31"/>
      <c r="I81" s="310">
        <f>SUM(I76:J79)</f>
        <v>334764.5199999999</v>
      </c>
      <c r="J81" s="311"/>
    </row>
    <row r="82" spans="1:13">
      <c r="A82" s="27" t="s">
        <v>218</v>
      </c>
      <c r="B82" s="63"/>
      <c r="C82" s="63"/>
      <c r="D82" s="80"/>
      <c r="E82" s="29">
        <f t="shared" si="1"/>
        <v>1977.5800000000002</v>
      </c>
      <c r="F82" s="3"/>
      <c r="G82" s="49"/>
      <c r="H82" s="41"/>
      <c r="I82" s="41"/>
      <c r="J82" s="234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12"/>
      <c r="J83" s="313"/>
      <c r="K83" s="24"/>
    </row>
    <row r="84" spans="1:13">
      <c r="A84" s="27" t="s">
        <v>28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04">
        <f>'CEF Março 2019'!I88:J88</f>
        <v>0</v>
      </c>
      <c r="J84" s="305"/>
      <c r="K84" s="24"/>
    </row>
    <row r="85" spans="1:13">
      <c r="A85" s="27" t="s">
        <v>150</v>
      </c>
      <c r="B85" s="63"/>
      <c r="C85" s="63"/>
      <c r="D85" s="80"/>
      <c r="E85" s="29">
        <f t="shared" si="1"/>
        <v>441.6</v>
      </c>
      <c r="F85" s="3"/>
      <c r="G85" s="27" t="s">
        <v>48</v>
      </c>
      <c r="H85" s="236"/>
      <c r="I85" s="306">
        <f>SUMIF($G$8:$G$57,G85,$E$8:$E$57)</f>
        <v>0</v>
      </c>
      <c r="J85" s="307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235" t="s">
        <v>14</v>
      </c>
      <c r="H86" s="236"/>
      <c r="I86" s="306">
        <f>-SUMIF($G$8:$G$57,G86,$D$8:$D$57)</f>
        <v>0</v>
      </c>
      <c r="J86" s="307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14"/>
      <c r="J87" s="315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02">
        <f>SUM(I84:J87)</f>
        <v>0</v>
      </c>
      <c r="J88" s="303"/>
      <c r="K88" s="24"/>
    </row>
    <row r="89" spans="1:13">
      <c r="A89" s="27" t="s">
        <v>176</v>
      </c>
      <c r="B89" s="63"/>
      <c r="C89" s="63"/>
      <c r="D89" s="80"/>
      <c r="E89" s="29">
        <f t="shared" si="1"/>
        <v>19386.939999999999</v>
      </c>
      <c r="F89" s="3"/>
      <c r="G89" s="49"/>
      <c r="H89" s="41"/>
      <c r="I89" s="41"/>
      <c r="J89" s="234"/>
      <c r="K89" s="24"/>
    </row>
    <row r="90" spans="1:13">
      <c r="A90" s="27" t="s">
        <v>272</v>
      </c>
      <c r="B90" s="63"/>
      <c r="C90" s="63"/>
      <c r="D90" s="80"/>
      <c r="E90" s="29">
        <f t="shared" si="1"/>
        <v>495.64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2939.52</v>
      </c>
      <c r="F91" s="3"/>
      <c r="G91" s="235" t="s">
        <v>19</v>
      </c>
      <c r="H91" s="236"/>
      <c r="I91" s="308">
        <f>'CEF Janeiro 2020'!I102:J102</f>
        <v>62677.369999999471</v>
      </c>
      <c r="J91" s="309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235" t="s">
        <v>384</v>
      </c>
      <c r="H92" s="236"/>
      <c r="I92" s="291">
        <f>249997.75+16000+16408.72+10986.48</f>
        <v>293392.94999999995</v>
      </c>
      <c r="J92" s="292"/>
      <c r="K92" s="24"/>
    </row>
    <row r="93" spans="1:13">
      <c r="A93" s="27" t="s">
        <v>179</v>
      </c>
      <c r="B93" s="63"/>
      <c r="C93" s="63"/>
      <c r="D93" s="80"/>
      <c r="E93" s="29">
        <f t="shared" si="1"/>
        <v>3586.4300000000003</v>
      </c>
      <c r="F93" s="3"/>
      <c r="G93" s="235" t="s">
        <v>147</v>
      </c>
      <c r="H93" s="236"/>
      <c r="I93" s="306">
        <f>-SUMIF($G$8:$G$57,G93,$E$8:$E$57)</f>
        <v>-293392.95</v>
      </c>
      <c r="J93" s="307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00"/>
      <c r="J94" s="301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10">
        <f>SUM(I91:J94)</f>
        <v>62677.369999999413</v>
      </c>
      <c r="J95" s="311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2352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99.699999999999989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04">
        <f>'CEF Janeiro 2020'!I109:J109</f>
        <v>19386.94000000001</v>
      </c>
      <c r="J98" s="305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370</v>
      </c>
      <c r="H99" s="41"/>
      <c r="I99" s="306">
        <v>21442.02</v>
      </c>
      <c r="J99" s="307"/>
      <c r="K99" s="24"/>
    </row>
    <row r="100" spans="1:11">
      <c r="A100" s="27" t="s">
        <v>331</v>
      </c>
      <c r="B100" s="63"/>
      <c r="C100" s="63"/>
      <c r="D100" s="80"/>
      <c r="E100" s="29">
        <f t="shared" si="1"/>
        <v>0</v>
      </c>
      <c r="F100" s="3"/>
      <c r="G100" s="27"/>
      <c r="H100" s="56"/>
      <c r="I100" s="306"/>
      <c r="J100" s="307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00">
        <f>-SUMIF($G$8:$G$57,G101,$D$8:$D$57)</f>
        <v>-19386.939999999999</v>
      </c>
      <c r="J101" s="301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02">
        <f>SUM(I98:J101)</f>
        <v>21442.020000000008</v>
      </c>
      <c r="J102" s="30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234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371</v>
      </c>
      <c r="H105" s="236"/>
      <c r="I105" s="291">
        <v>31520.31</v>
      </c>
      <c r="J105" s="292"/>
      <c r="K105" s="24"/>
    </row>
    <row r="106" spans="1:11">
      <c r="A106" s="297" t="s">
        <v>22</v>
      </c>
      <c r="B106" s="298"/>
      <c r="C106" s="298"/>
      <c r="D106" s="81"/>
      <c r="E106" s="35">
        <f>SUM(E68:E104)</f>
        <v>536183.22</v>
      </c>
      <c r="F106" s="3"/>
      <c r="G106" s="27"/>
      <c r="H106" s="236"/>
      <c r="I106" s="291"/>
      <c r="J106" s="292"/>
      <c r="K106" s="24"/>
    </row>
    <row r="107" spans="1:11">
      <c r="E107" s="46">
        <f>D58-E106</f>
        <v>0</v>
      </c>
      <c r="F107" s="3"/>
      <c r="G107" s="27"/>
      <c r="H107" s="41"/>
      <c r="I107" s="295"/>
      <c r="J107" s="296"/>
      <c r="K107" s="24"/>
    </row>
    <row r="108" spans="1:11">
      <c r="F108" s="3"/>
      <c r="G108" s="89" t="s">
        <v>18</v>
      </c>
      <c r="H108" s="88"/>
      <c r="I108" s="302">
        <f>SUM(I105:J107)</f>
        <v>31520.31</v>
      </c>
      <c r="J108" s="303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20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279120.43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64">
        <v>827.28</v>
      </c>
      <c r="C4" s="41"/>
      <c r="D4" s="144"/>
      <c r="E4" s="41"/>
      <c r="F4" s="41"/>
    </row>
    <row r="5" spans="1:6" ht="15.75" thickBot="1">
      <c r="A5" s="177"/>
      <c r="B5" s="127">
        <v>10207.08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583547.74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v>154606.68</v>
      </c>
      <c r="C11" s="115">
        <f>12190+3979.36+1165.44+80296.75+7799.65+5168.41+441.6+495.64+3586.43</f>
        <v>115123.28</v>
      </c>
      <c r="D11" s="115"/>
      <c r="E11" s="166">
        <f t="shared" ref="E11:E27" si="0">C11+D11</f>
        <v>115123.28</v>
      </c>
      <c r="F11" s="134">
        <f>91663.74+19086.31+316452.76+5534.5+888.59+914.07+12564.42+9445.8</f>
        <v>456550.19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108618.45</v>
      </c>
      <c r="C17" s="115">
        <f>95748.89+10207.08+948.23+1977.58+2939.52+2352</f>
        <v>114173.3</v>
      </c>
      <c r="D17" s="115"/>
      <c r="E17" s="166">
        <f t="shared" si="0"/>
        <v>114173.3</v>
      </c>
      <c r="F17" s="134">
        <f>16708.78+2944.86+1786.66+108618.45</f>
        <v>130058.75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99.7</v>
      </c>
      <c r="C25" s="151"/>
      <c r="D25" s="115">
        <v>99.7</v>
      </c>
      <c r="E25" s="166">
        <f t="shared" si="0"/>
        <v>99.7</v>
      </c>
      <c r="F25" s="115"/>
    </row>
    <row r="26" spans="1:10" ht="24.95" customHeight="1" thickBot="1">
      <c r="A26" s="114" t="s">
        <v>196</v>
      </c>
      <c r="B26" s="111">
        <v>21442.02</v>
      </c>
      <c r="C26" s="151">
        <f>19386.94</f>
        <v>19386.939999999999</v>
      </c>
      <c r="D26" s="111"/>
      <c r="E26" s="166">
        <f t="shared" si="0"/>
        <v>19386.939999999999</v>
      </c>
      <c r="F26" s="115">
        <v>21442.02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284766.85000000003</v>
      </c>
      <c r="C28" s="152">
        <f>SUM(C11:C27)</f>
        <v>248683.52000000002</v>
      </c>
      <c r="D28" s="152">
        <f>SUM(D11:D27)</f>
        <v>99.7</v>
      </c>
      <c r="E28" s="152">
        <f>SUM(E11:E27)</f>
        <v>248783.22000000003</v>
      </c>
      <c r="F28" s="152">
        <f>SUM(F11:F27)</f>
        <v>608050.96</v>
      </c>
      <c r="H28" s="46">
        <f>844225.45-236174.49</f>
        <v>608050.96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287400</v>
      </c>
    </row>
    <row r="33" spans="1:7">
      <c r="A33" s="27" t="s">
        <v>174</v>
      </c>
      <c r="B33" s="221"/>
      <c r="C33" s="200"/>
      <c r="D33" s="201"/>
      <c r="E33" s="182">
        <v>95748.89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12190</v>
      </c>
      <c r="F36" s="209" t="s">
        <v>193</v>
      </c>
    </row>
    <row r="37" spans="1:7">
      <c r="A37" s="62" t="s">
        <v>368</v>
      </c>
      <c r="B37" s="221"/>
      <c r="C37" s="200"/>
      <c r="D37" s="201"/>
      <c r="E37" s="182">
        <v>10207.08</v>
      </c>
      <c r="F37" s="39" t="s">
        <v>193</v>
      </c>
    </row>
    <row r="38" spans="1:7">
      <c r="A38" s="27" t="s">
        <v>271</v>
      </c>
      <c r="B38" s="223"/>
      <c r="C38" s="237"/>
      <c r="D38" s="238"/>
      <c r="E38" s="182">
        <v>3979.36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1165.44</v>
      </c>
      <c r="F39" s="209" t="s">
        <v>193</v>
      </c>
    </row>
    <row r="40" spans="1:7">
      <c r="A40" s="27" t="s">
        <v>270</v>
      </c>
      <c r="B40" s="223"/>
      <c r="C40" s="237"/>
      <c r="D40" s="238"/>
      <c r="E40" s="182">
        <v>80296.75</v>
      </c>
      <c r="F40" s="209" t="s">
        <v>193</v>
      </c>
    </row>
    <row r="41" spans="1:7">
      <c r="A41" s="27" t="s">
        <v>219</v>
      </c>
      <c r="B41" s="223"/>
      <c r="C41" s="237"/>
      <c r="D41" s="238"/>
      <c r="E41" s="182">
        <v>0</v>
      </c>
      <c r="F41" s="209" t="s">
        <v>193</v>
      </c>
    </row>
    <row r="42" spans="1:7">
      <c r="A42" s="27" t="s">
        <v>29</v>
      </c>
      <c r="B42" s="223"/>
      <c r="C42" s="237"/>
      <c r="D42" s="238"/>
      <c r="E42" s="182">
        <v>7799.6500000000005</v>
      </c>
      <c r="F42" s="209" t="s">
        <v>193</v>
      </c>
    </row>
    <row r="43" spans="1:7">
      <c r="A43" s="27" t="s">
        <v>282</v>
      </c>
      <c r="B43" s="223"/>
      <c r="C43" s="237"/>
      <c r="D43" s="238"/>
      <c r="E43" s="182">
        <v>5168.41</v>
      </c>
      <c r="F43" s="209" t="s">
        <v>193</v>
      </c>
    </row>
    <row r="44" spans="1:7">
      <c r="A44" s="27" t="s">
        <v>273</v>
      </c>
      <c r="B44" s="223"/>
      <c r="C44" s="237"/>
      <c r="D44" s="238"/>
      <c r="E44" s="182">
        <v>948.23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1977.5800000000002</v>
      </c>
      <c r="F45" s="209" t="s">
        <v>193</v>
      </c>
      <c r="G45" s="46"/>
    </row>
    <row r="46" spans="1:7">
      <c r="A46" s="27" t="s">
        <v>231</v>
      </c>
      <c r="B46" s="223"/>
      <c r="C46" s="237"/>
      <c r="D46" s="238"/>
      <c r="E46" s="182">
        <v>0</v>
      </c>
    </row>
    <row r="47" spans="1:7">
      <c r="A47" s="27" t="s">
        <v>28</v>
      </c>
      <c r="B47" s="223"/>
      <c r="C47" s="237"/>
      <c r="D47" s="238"/>
      <c r="E47" s="182">
        <v>0</v>
      </c>
    </row>
    <row r="48" spans="1:7">
      <c r="A48" s="27" t="s">
        <v>150</v>
      </c>
      <c r="B48" s="223"/>
      <c r="C48" s="237"/>
      <c r="D48" s="238"/>
      <c r="E48" s="182">
        <v>441.6</v>
      </c>
      <c r="F48" s="209" t="s">
        <v>193</v>
      </c>
    </row>
    <row r="49" spans="1:6">
      <c r="A49" s="27" t="s">
        <v>220</v>
      </c>
      <c r="B49" s="223"/>
      <c r="C49" s="237"/>
      <c r="D49" s="238"/>
      <c r="E49" s="182">
        <v>0</v>
      </c>
    </row>
    <row r="50" spans="1:6">
      <c r="A50" s="27" t="s">
        <v>151</v>
      </c>
      <c r="B50" s="223"/>
      <c r="C50" s="237"/>
      <c r="D50" s="238"/>
      <c r="E50" s="182">
        <v>0</v>
      </c>
    </row>
    <row r="51" spans="1:6">
      <c r="A51" s="27" t="s">
        <v>49</v>
      </c>
      <c r="B51" s="223"/>
      <c r="C51" s="237"/>
      <c r="D51" s="238"/>
      <c r="E51" s="182">
        <v>0</v>
      </c>
    </row>
    <row r="52" spans="1:6">
      <c r="A52" s="27" t="s">
        <v>176</v>
      </c>
      <c r="B52" s="223"/>
      <c r="C52" s="237"/>
      <c r="D52" s="238"/>
      <c r="E52" s="182">
        <v>19386.939999999999</v>
      </c>
      <c r="F52" s="209" t="s">
        <v>193</v>
      </c>
    </row>
    <row r="53" spans="1:6">
      <c r="A53" s="27" t="s">
        <v>272</v>
      </c>
      <c r="B53" s="223"/>
      <c r="C53" s="237"/>
      <c r="D53" s="238"/>
      <c r="E53" s="182">
        <v>495.64</v>
      </c>
      <c r="F53" s="209" t="s">
        <v>193</v>
      </c>
    </row>
    <row r="54" spans="1:6">
      <c r="A54" s="27" t="s">
        <v>43</v>
      </c>
      <c r="B54" s="223"/>
      <c r="C54" s="237"/>
      <c r="D54" s="238"/>
      <c r="E54" s="182">
        <v>2939.52</v>
      </c>
      <c r="F54" s="209" t="s">
        <v>193</v>
      </c>
    </row>
    <row r="55" spans="1:6">
      <c r="A55" s="27" t="s">
        <v>274</v>
      </c>
      <c r="B55" s="223"/>
      <c r="C55" s="237"/>
      <c r="D55" s="238"/>
      <c r="E55" s="182">
        <v>0</v>
      </c>
    </row>
    <row r="56" spans="1:6">
      <c r="A56" s="27" t="s">
        <v>179</v>
      </c>
      <c r="B56" s="223"/>
      <c r="C56" s="237"/>
      <c r="D56" s="238"/>
      <c r="E56" s="182">
        <v>3586.4300000000003</v>
      </c>
      <c r="F56" s="209" t="s">
        <v>193</v>
      </c>
    </row>
    <row r="57" spans="1:6">
      <c r="A57" s="27" t="s">
        <v>146</v>
      </c>
      <c r="B57" s="223"/>
      <c r="C57" s="237"/>
      <c r="D57" s="238"/>
      <c r="E57" s="182">
        <v>0</v>
      </c>
    </row>
    <row r="58" spans="1:6">
      <c r="A58" s="27" t="s">
        <v>34</v>
      </c>
      <c r="B58" s="223"/>
      <c r="C58" s="237"/>
      <c r="D58" s="238"/>
      <c r="E58" s="182">
        <v>0</v>
      </c>
    </row>
    <row r="59" spans="1:6">
      <c r="A59" s="27" t="s">
        <v>178</v>
      </c>
      <c r="B59" s="223"/>
      <c r="C59" s="237"/>
      <c r="D59" s="238"/>
      <c r="E59" s="182">
        <v>2352</v>
      </c>
      <c r="F59" s="209" t="s">
        <v>193</v>
      </c>
    </row>
    <row r="60" spans="1:6">
      <c r="A60" s="27" t="s">
        <v>72</v>
      </c>
      <c r="B60" s="223"/>
      <c r="C60" s="237"/>
      <c r="D60" s="238"/>
      <c r="E60" s="182">
        <v>99.699999999999989</v>
      </c>
      <c r="F60" s="209" t="s">
        <v>193</v>
      </c>
    </row>
    <row r="61" spans="1:6">
      <c r="A61" s="27" t="s">
        <v>307</v>
      </c>
      <c r="B61" s="223"/>
      <c r="C61" s="237"/>
      <c r="D61" s="238"/>
      <c r="E61" s="182">
        <v>0</v>
      </c>
    </row>
    <row r="62" spans="1:6">
      <c r="A62" s="27" t="s">
        <v>120</v>
      </c>
      <c r="B62" s="223"/>
      <c r="C62" s="237"/>
      <c r="D62" s="238"/>
      <c r="E62" s="182">
        <v>0</v>
      </c>
    </row>
    <row r="63" spans="1:6">
      <c r="A63" s="27" t="s">
        <v>331</v>
      </c>
      <c r="B63" s="223"/>
      <c r="C63" s="237"/>
      <c r="D63" s="238"/>
      <c r="E63" s="182">
        <v>0</v>
      </c>
    </row>
    <row r="64" spans="1:6">
      <c r="A64" s="27"/>
      <c r="B64" s="220"/>
      <c r="C64" s="237"/>
      <c r="D64" s="238"/>
      <c r="E64" s="183"/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248783.22000000003</v>
      </c>
    </row>
    <row r="68" spans="1:6" ht="15.75" thickBot="1">
      <c r="E68" s="46">
        <f>E66-E7</f>
        <v>248783.22000000003</v>
      </c>
    </row>
    <row r="69" spans="1:6" ht="23.25" thickBot="1">
      <c r="A69" s="154" t="s">
        <v>258</v>
      </c>
      <c r="B69" s="95">
        <f>B7</f>
        <v>583547.74</v>
      </c>
    </row>
    <row r="70" spans="1:6" ht="23.25" thickBot="1">
      <c r="A70" s="155" t="s">
        <v>259</v>
      </c>
      <c r="B70" s="98">
        <f>E66</f>
        <v>248783.22000000003</v>
      </c>
    </row>
    <row r="71" spans="1:6" ht="23.25" thickBot="1">
      <c r="A71" s="155" t="s">
        <v>260</v>
      </c>
      <c r="B71" s="98">
        <f>B69-B70</f>
        <v>334764.51999999996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334764.51999999996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58"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372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2020'!F58</f>
        <v>0</v>
      </c>
      <c r="G9" s="9"/>
      <c r="H9" s="7"/>
      <c r="I9" s="4"/>
      <c r="J9" s="19"/>
      <c r="K9" s="16"/>
    </row>
    <row r="10" spans="1:11">
      <c r="A10" s="15">
        <v>43892</v>
      </c>
      <c r="B10" s="4">
        <v>727220</v>
      </c>
      <c r="C10" s="4" t="s">
        <v>60</v>
      </c>
      <c r="D10" s="77"/>
      <c r="E10" s="77">
        <v>9270.68</v>
      </c>
      <c r="F10" s="6">
        <f t="shared" ref="F10:F61" si="0">F9-D10+E10</f>
        <v>9270.68</v>
      </c>
      <c r="G10" s="9" t="s">
        <v>145</v>
      </c>
      <c r="H10" s="7"/>
      <c r="I10" s="4"/>
      <c r="J10" s="19"/>
      <c r="K10" s="16"/>
    </row>
    <row r="11" spans="1:11">
      <c r="A11" s="15">
        <v>43892</v>
      </c>
      <c r="B11" s="4">
        <v>21440</v>
      </c>
      <c r="C11" s="4" t="s">
        <v>47</v>
      </c>
      <c r="D11" s="77">
        <v>9487.68</v>
      </c>
      <c r="E11" s="5"/>
      <c r="F11" s="6">
        <f t="shared" si="0"/>
        <v>-217</v>
      </c>
      <c r="G11" s="9" t="s">
        <v>151</v>
      </c>
      <c r="H11" s="7"/>
      <c r="I11" s="4"/>
      <c r="J11" s="19"/>
      <c r="K11" s="16"/>
    </row>
    <row r="12" spans="1:11">
      <c r="A12" s="15">
        <v>43892</v>
      </c>
      <c r="B12" s="4">
        <v>21442</v>
      </c>
      <c r="C12" s="4" t="s">
        <v>44</v>
      </c>
      <c r="D12" s="77"/>
      <c r="E12" s="77">
        <v>217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>
        <v>43893</v>
      </c>
      <c r="B13" s="4">
        <v>300277</v>
      </c>
      <c r="C13" s="4" t="s">
        <v>57</v>
      </c>
      <c r="D13" s="77">
        <v>1946.78</v>
      </c>
      <c r="E13" s="5"/>
      <c r="F13" s="6">
        <f t="shared" si="0"/>
        <v>-1946.78</v>
      </c>
      <c r="G13" s="9" t="s">
        <v>34</v>
      </c>
      <c r="H13" s="7" t="s">
        <v>310</v>
      </c>
      <c r="I13" s="4">
        <v>71</v>
      </c>
      <c r="J13" s="19">
        <v>9</v>
      </c>
      <c r="K13" s="16">
        <v>43865</v>
      </c>
    </row>
    <row r="14" spans="1:11">
      <c r="A14" s="15">
        <v>43893</v>
      </c>
      <c r="B14" s="4">
        <v>247168</v>
      </c>
      <c r="C14" s="4" t="s">
        <v>52</v>
      </c>
      <c r="D14" s="77">
        <v>12470</v>
      </c>
      <c r="E14" s="5"/>
      <c r="F14" s="6">
        <f t="shared" si="0"/>
        <v>-14416.78</v>
      </c>
      <c r="G14" s="9" t="s">
        <v>175</v>
      </c>
      <c r="H14" s="7" t="s">
        <v>45</v>
      </c>
      <c r="I14" s="4">
        <v>384480</v>
      </c>
      <c r="J14" s="19">
        <v>24</v>
      </c>
      <c r="K14" s="16">
        <v>43896</v>
      </c>
    </row>
    <row r="15" spans="1:11">
      <c r="A15" s="15">
        <v>43893</v>
      </c>
      <c r="B15" s="4">
        <v>300276</v>
      </c>
      <c r="C15" s="4" t="s">
        <v>57</v>
      </c>
      <c r="D15" s="77">
        <v>2180.4</v>
      </c>
      <c r="E15" s="5"/>
      <c r="F15" s="6">
        <f t="shared" si="0"/>
        <v>-16597.18</v>
      </c>
      <c r="G15" s="9" t="s">
        <v>34</v>
      </c>
      <c r="H15" s="7" t="s">
        <v>343</v>
      </c>
      <c r="I15" s="4">
        <v>854</v>
      </c>
      <c r="J15" s="19">
        <v>5</v>
      </c>
      <c r="K15" s="16">
        <v>43864</v>
      </c>
    </row>
    <row r="16" spans="1:11">
      <c r="A16" s="15">
        <v>43893</v>
      </c>
      <c r="B16" s="4">
        <v>727220</v>
      </c>
      <c r="C16" s="4" t="s">
        <v>60</v>
      </c>
      <c r="D16" s="77"/>
      <c r="E16" s="77">
        <v>16597.18</v>
      </c>
      <c r="F16" s="6">
        <f t="shared" si="0"/>
        <v>0</v>
      </c>
      <c r="G16" s="9" t="s">
        <v>145</v>
      </c>
      <c r="H16" s="7"/>
      <c r="I16" s="4"/>
      <c r="J16" s="19"/>
      <c r="K16" s="16"/>
    </row>
    <row r="17" spans="1:11">
      <c r="A17" s="15">
        <v>43895</v>
      </c>
      <c r="B17" s="4">
        <v>1</v>
      </c>
      <c r="C17" s="4" t="s">
        <v>37</v>
      </c>
      <c r="D17" s="77"/>
      <c r="E17" s="77">
        <v>206074.93</v>
      </c>
      <c r="F17" s="6">
        <f t="shared" si="0"/>
        <v>206074.93</v>
      </c>
      <c r="G17" s="9" t="s">
        <v>147</v>
      </c>
      <c r="H17" s="7"/>
      <c r="I17" s="4"/>
      <c r="J17" s="19"/>
      <c r="K17" s="16"/>
    </row>
    <row r="18" spans="1:11">
      <c r="A18" s="15">
        <v>43895</v>
      </c>
      <c r="B18" s="4">
        <v>1</v>
      </c>
      <c r="C18" s="4" t="s">
        <v>37</v>
      </c>
      <c r="D18" s="77"/>
      <c r="E18" s="77">
        <v>87318.02</v>
      </c>
      <c r="F18" s="6">
        <f t="shared" si="0"/>
        <v>293392.95</v>
      </c>
      <c r="G18" s="9" t="s">
        <v>147</v>
      </c>
      <c r="H18" s="7"/>
      <c r="I18" s="4"/>
      <c r="J18" s="19"/>
      <c r="K18" s="16"/>
    </row>
    <row r="19" spans="1:11">
      <c r="A19" s="15">
        <v>43895</v>
      </c>
      <c r="B19" s="4">
        <v>22020</v>
      </c>
      <c r="C19" s="4" t="s">
        <v>188</v>
      </c>
      <c r="D19" s="77">
        <v>99</v>
      </c>
      <c r="E19" s="5"/>
      <c r="F19" s="6">
        <f t="shared" si="0"/>
        <v>293293.95</v>
      </c>
      <c r="G19" s="9" t="s">
        <v>72</v>
      </c>
      <c r="H19" s="7"/>
      <c r="I19" s="4"/>
      <c r="J19" s="19"/>
      <c r="K19" s="16"/>
    </row>
    <row r="20" spans="1:11">
      <c r="A20" s="15">
        <v>43895</v>
      </c>
      <c r="B20" s="4">
        <v>300275</v>
      </c>
      <c r="C20" s="4" t="s">
        <v>59</v>
      </c>
      <c r="D20" s="77">
        <v>2721.75</v>
      </c>
      <c r="E20" s="5"/>
      <c r="F20" s="6">
        <f t="shared" si="0"/>
        <v>290572.2</v>
      </c>
      <c r="G20" s="9" t="s">
        <v>271</v>
      </c>
      <c r="H20" s="7" t="s">
        <v>373</v>
      </c>
      <c r="I20" s="4"/>
      <c r="J20" s="19"/>
      <c r="K20" s="16"/>
    </row>
    <row r="21" spans="1:11">
      <c r="A21" s="15">
        <v>43895</v>
      </c>
      <c r="B21" s="4">
        <v>251401</v>
      </c>
      <c r="C21" s="4" t="s">
        <v>58</v>
      </c>
      <c r="D21" s="77">
        <v>290500</v>
      </c>
      <c r="E21" s="5"/>
      <c r="F21" s="6">
        <f t="shared" si="0"/>
        <v>72.200000000011642</v>
      </c>
      <c r="G21" s="9" t="s">
        <v>149</v>
      </c>
      <c r="H21" s="7"/>
      <c r="I21" s="4"/>
      <c r="J21" s="19"/>
      <c r="K21" s="16"/>
    </row>
    <row r="22" spans="1:11">
      <c r="A22" s="15">
        <v>43896</v>
      </c>
      <c r="B22" s="4">
        <v>106606</v>
      </c>
      <c r="C22" s="4" t="s">
        <v>55</v>
      </c>
      <c r="D22" s="77">
        <v>496</v>
      </c>
      <c r="E22" s="5"/>
      <c r="F22" s="6">
        <f t="shared" si="0"/>
        <v>-423.79999999998836</v>
      </c>
      <c r="G22" s="9" t="s">
        <v>272</v>
      </c>
      <c r="H22" s="7" t="s">
        <v>117</v>
      </c>
      <c r="I22" s="4">
        <v>1</v>
      </c>
      <c r="J22" s="19">
        <v>1</v>
      </c>
      <c r="K22" s="16"/>
    </row>
    <row r="23" spans="1:11">
      <c r="A23" s="15">
        <v>43896</v>
      </c>
      <c r="B23" s="4">
        <v>309379</v>
      </c>
      <c r="C23" s="4" t="s">
        <v>172</v>
      </c>
      <c r="D23" s="77">
        <v>91663.74</v>
      </c>
      <c r="E23" s="5"/>
      <c r="F23" s="6">
        <f t="shared" si="0"/>
        <v>-92087.54</v>
      </c>
      <c r="G23" s="9" t="s">
        <v>270</v>
      </c>
      <c r="H23" s="7"/>
      <c r="I23" s="4"/>
      <c r="J23" s="19"/>
      <c r="K23" s="16"/>
    </row>
    <row r="24" spans="1:11">
      <c r="A24" s="15">
        <v>43896</v>
      </c>
      <c r="B24" s="4">
        <v>727220</v>
      </c>
      <c r="C24" s="4" t="s">
        <v>60</v>
      </c>
      <c r="D24" s="77"/>
      <c r="E24" s="77">
        <v>92087.540000000008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43900</v>
      </c>
      <c r="B25" s="4">
        <v>50029</v>
      </c>
      <c r="C25" s="4" t="s">
        <v>52</v>
      </c>
      <c r="D25" s="77">
        <v>888.59</v>
      </c>
      <c r="E25" s="5"/>
      <c r="F25" s="6">
        <f t="shared" si="0"/>
        <v>-888.59</v>
      </c>
      <c r="G25" s="9" t="s">
        <v>150</v>
      </c>
      <c r="H25" s="7" t="s">
        <v>181</v>
      </c>
      <c r="I25" s="4">
        <v>1590730</v>
      </c>
      <c r="J25" s="19">
        <v>1</v>
      </c>
      <c r="K25" s="16">
        <v>43899</v>
      </c>
    </row>
    <row r="26" spans="1:11">
      <c r="A26" s="15">
        <v>43900</v>
      </c>
      <c r="B26" s="4">
        <v>430542</v>
      </c>
      <c r="C26" s="4" t="s">
        <v>216</v>
      </c>
      <c r="D26" s="77">
        <v>1786.66</v>
      </c>
      <c r="E26" s="5"/>
      <c r="F26" s="6">
        <f t="shared" si="0"/>
        <v>-2675.25</v>
      </c>
      <c r="G26" s="9" t="s">
        <v>218</v>
      </c>
      <c r="H26" s="7" t="s">
        <v>222</v>
      </c>
      <c r="I26" s="4">
        <v>889311139</v>
      </c>
      <c r="J26" s="19">
        <v>1</v>
      </c>
      <c r="K26" s="16">
        <v>43899</v>
      </c>
    </row>
    <row r="27" spans="1:11">
      <c r="A27" s="15">
        <v>43900</v>
      </c>
      <c r="B27" s="4">
        <v>727220</v>
      </c>
      <c r="C27" s="4" t="s">
        <v>60</v>
      </c>
      <c r="D27" s="77"/>
      <c r="E27" s="77">
        <v>2675.25</v>
      </c>
      <c r="F27" s="6">
        <f t="shared" si="0"/>
        <v>0</v>
      </c>
      <c r="G27" s="9" t="s">
        <v>145</v>
      </c>
      <c r="H27" s="7"/>
      <c r="I27" s="4"/>
      <c r="J27" s="19"/>
      <c r="K27" s="16"/>
    </row>
    <row r="28" spans="1:11">
      <c r="A28" s="15">
        <v>43901</v>
      </c>
      <c r="B28" s="4">
        <v>727220</v>
      </c>
      <c r="C28" s="4" t="s">
        <v>60</v>
      </c>
      <c r="D28" s="77"/>
      <c r="E28" s="77">
        <v>9842.67</v>
      </c>
      <c r="F28" s="6">
        <f t="shared" si="0"/>
        <v>9842.67</v>
      </c>
      <c r="G28" s="9" t="s">
        <v>145</v>
      </c>
      <c r="H28" s="7"/>
      <c r="I28" s="4"/>
      <c r="J28" s="19"/>
      <c r="K28" s="16"/>
    </row>
    <row r="29" spans="1:11">
      <c r="A29" s="15">
        <v>43901</v>
      </c>
      <c r="B29" s="4">
        <v>182540</v>
      </c>
      <c r="C29" s="4" t="s">
        <v>55</v>
      </c>
      <c r="D29" s="77">
        <v>5887.08</v>
      </c>
      <c r="E29" s="5"/>
      <c r="F29" s="6">
        <f t="shared" si="0"/>
        <v>3955.59</v>
      </c>
      <c r="G29" s="9" t="s">
        <v>34</v>
      </c>
      <c r="H29" s="7" t="s">
        <v>374</v>
      </c>
      <c r="I29" s="4">
        <v>43</v>
      </c>
      <c r="J29" s="19">
        <v>1</v>
      </c>
      <c r="K29" s="16">
        <v>43900</v>
      </c>
    </row>
    <row r="30" spans="1:11">
      <c r="A30" s="15">
        <v>43901</v>
      </c>
      <c r="B30" s="4">
        <v>300274</v>
      </c>
      <c r="C30" s="4" t="s">
        <v>57</v>
      </c>
      <c r="D30" s="77">
        <v>3955.59</v>
      </c>
      <c r="E30" s="5"/>
      <c r="F30" s="6">
        <f t="shared" si="0"/>
        <v>0</v>
      </c>
      <c r="G30" s="9" t="s">
        <v>271</v>
      </c>
      <c r="H30" s="7" t="s">
        <v>94</v>
      </c>
      <c r="I30" s="4"/>
      <c r="J30" s="19"/>
      <c r="K30" s="16"/>
    </row>
    <row r="31" spans="1:11">
      <c r="A31" s="15">
        <v>43906</v>
      </c>
      <c r="B31" s="4">
        <v>161239</v>
      </c>
      <c r="C31" s="4" t="s">
        <v>173</v>
      </c>
      <c r="D31" s="77">
        <v>2352</v>
      </c>
      <c r="E31" s="5"/>
      <c r="F31" s="6">
        <f t="shared" si="0"/>
        <v>-2352</v>
      </c>
      <c r="G31" s="9" t="s">
        <v>34</v>
      </c>
      <c r="H31" s="7" t="s">
        <v>223</v>
      </c>
      <c r="I31" s="4">
        <v>573</v>
      </c>
      <c r="J31" s="19">
        <v>10</v>
      </c>
      <c r="K31" s="16">
        <v>43891</v>
      </c>
    </row>
    <row r="32" spans="1:11">
      <c r="A32" s="15">
        <v>43906</v>
      </c>
      <c r="B32" s="4">
        <v>300278</v>
      </c>
      <c r="C32" s="4" t="s">
        <v>57</v>
      </c>
      <c r="D32" s="77">
        <v>2180.4</v>
      </c>
      <c r="E32" s="5"/>
      <c r="F32" s="6">
        <f t="shared" si="0"/>
        <v>-4532.3999999999996</v>
      </c>
      <c r="G32" s="9" t="s">
        <v>34</v>
      </c>
      <c r="H32" s="7" t="s">
        <v>343</v>
      </c>
      <c r="I32" s="4">
        <v>878</v>
      </c>
      <c r="J32" s="19">
        <v>6</v>
      </c>
      <c r="K32" s="16">
        <v>43892</v>
      </c>
    </row>
    <row r="33" spans="1:11">
      <c r="A33" s="15">
        <v>43906</v>
      </c>
      <c r="B33" s="4">
        <v>727220</v>
      </c>
      <c r="C33" s="4" t="s">
        <v>60</v>
      </c>
      <c r="D33" s="77"/>
      <c r="E33" s="77">
        <v>4532.4000000000005</v>
      </c>
      <c r="F33" s="6">
        <f t="shared" si="0"/>
        <v>0</v>
      </c>
      <c r="G33" s="9" t="s">
        <v>145</v>
      </c>
      <c r="H33" s="7"/>
      <c r="I33" s="4"/>
      <c r="J33" s="19"/>
      <c r="K33" s="16"/>
    </row>
    <row r="34" spans="1:11">
      <c r="A34" s="15">
        <v>43907</v>
      </c>
      <c r="B34" s="4">
        <v>300280</v>
      </c>
      <c r="C34" s="4" t="s">
        <v>57</v>
      </c>
      <c r="D34" s="77">
        <v>4054.32</v>
      </c>
      <c r="E34" s="5"/>
      <c r="F34" s="6">
        <f t="shared" si="0"/>
        <v>-4054.32</v>
      </c>
      <c r="G34" s="9" t="s">
        <v>34</v>
      </c>
      <c r="H34" s="7" t="s">
        <v>341</v>
      </c>
      <c r="I34" s="4">
        <v>305</v>
      </c>
      <c r="J34" s="19">
        <v>6</v>
      </c>
      <c r="K34" s="16">
        <v>43900</v>
      </c>
    </row>
    <row r="35" spans="1:11">
      <c r="A35" s="15">
        <v>43907</v>
      </c>
      <c r="B35" s="4">
        <v>300281</v>
      </c>
      <c r="C35" s="4" t="s">
        <v>57</v>
      </c>
      <c r="D35" s="77">
        <v>11774.16</v>
      </c>
      <c r="E35" s="5"/>
      <c r="F35" s="6">
        <f t="shared" si="0"/>
        <v>-15828.48</v>
      </c>
      <c r="G35" s="9" t="s">
        <v>34</v>
      </c>
      <c r="H35" s="7" t="s">
        <v>342</v>
      </c>
      <c r="I35" s="4">
        <v>6</v>
      </c>
      <c r="J35" s="19">
        <v>6</v>
      </c>
      <c r="K35" s="16">
        <v>43899</v>
      </c>
    </row>
    <row r="36" spans="1:11">
      <c r="A36" s="15">
        <v>43907</v>
      </c>
      <c r="B36" s="4">
        <v>300287</v>
      </c>
      <c r="C36" s="4" t="s">
        <v>57</v>
      </c>
      <c r="D36" s="77">
        <v>15316.32</v>
      </c>
      <c r="E36" s="5"/>
      <c r="F36" s="6">
        <f t="shared" si="0"/>
        <v>-31144.799999999999</v>
      </c>
      <c r="G36" s="9" t="s">
        <v>34</v>
      </c>
      <c r="H36" s="7" t="s">
        <v>127</v>
      </c>
      <c r="I36" s="4">
        <v>86</v>
      </c>
      <c r="J36" s="19">
        <v>11</v>
      </c>
      <c r="K36" s="16">
        <v>43899</v>
      </c>
    </row>
    <row r="37" spans="1:11">
      <c r="A37" s="15">
        <v>43907</v>
      </c>
      <c r="B37" s="4">
        <v>300288</v>
      </c>
      <c r="C37" s="4" t="s">
        <v>57</v>
      </c>
      <c r="D37" s="77">
        <v>10792.98</v>
      </c>
      <c r="E37" s="5"/>
      <c r="F37" s="6">
        <f t="shared" si="0"/>
        <v>-41937.78</v>
      </c>
      <c r="G37" s="9" t="s">
        <v>34</v>
      </c>
      <c r="H37" s="7" t="s">
        <v>224</v>
      </c>
      <c r="I37" s="4">
        <v>46</v>
      </c>
      <c r="J37" s="19">
        <v>7</v>
      </c>
      <c r="K37" s="16">
        <v>43899</v>
      </c>
    </row>
    <row r="38" spans="1:11">
      <c r="A38" s="15">
        <v>43907</v>
      </c>
      <c r="B38" s="4">
        <v>300289</v>
      </c>
      <c r="C38" s="4" t="s">
        <v>57</v>
      </c>
      <c r="D38" s="77">
        <v>16736.240000000002</v>
      </c>
      <c r="E38" s="5"/>
      <c r="F38" s="6">
        <f t="shared" si="0"/>
        <v>-58674.020000000004</v>
      </c>
      <c r="G38" s="9" t="s">
        <v>34</v>
      </c>
      <c r="H38" s="7" t="s">
        <v>128</v>
      </c>
      <c r="I38" s="4">
        <v>59</v>
      </c>
      <c r="J38" s="19">
        <v>18</v>
      </c>
      <c r="K38" s="16">
        <v>43899</v>
      </c>
    </row>
    <row r="39" spans="1:11">
      <c r="A39" s="15">
        <v>43907</v>
      </c>
      <c r="B39" s="4">
        <v>300285</v>
      </c>
      <c r="C39" s="4" t="s">
        <v>57</v>
      </c>
      <c r="D39" s="77">
        <v>2113.13</v>
      </c>
      <c r="E39" s="5"/>
      <c r="F39" s="6">
        <f t="shared" si="0"/>
        <v>-60787.15</v>
      </c>
      <c r="G39" s="9" t="s">
        <v>34</v>
      </c>
      <c r="H39" s="7" t="s">
        <v>183</v>
      </c>
      <c r="I39" s="4">
        <v>47</v>
      </c>
      <c r="J39" s="19">
        <v>9</v>
      </c>
      <c r="K39" s="16">
        <v>43901</v>
      </c>
    </row>
    <row r="40" spans="1:11">
      <c r="A40" s="15">
        <v>43907</v>
      </c>
      <c r="B40" s="4">
        <v>300283</v>
      </c>
      <c r="C40" s="4" t="s">
        <v>57</v>
      </c>
      <c r="D40" s="77">
        <v>4320</v>
      </c>
      <c r="E40" s="5"/>
      <c r="F40" s="6">
        <f t="shared" si="0"/>
        <v>-65107.15</v>
      </c>
      <c r="G40" s="9" t="s">
        <v>34</v>
      </c>
      <c r="H40" s="7" t="s">
        <v>302</v>
      </c>
      <c r="I40" s="4">
        <v>115</v>
      </c>
      <c r="J40" s="19">
        <v>11</v>
      </c>
      <c r="K40" s="16">
        <v>43899</v>
      </c>
    </row>
    <row r="41" spans="1:11">
      <c r="A41" s="15">
        <v>43907</v>
      </c>
      <c r="B41" s="4">
        <v>727220</v>
      </c>
      <c r="C41" s="4" t="s">
        <v>60</v>
      </c>
      <c r="D41" s="77"/>
      <c r="E41" s="77">
        <v>70994.23</v>
      </c>
      <c r="F41" s="6">
        <f t="shared" si="0"/>
        <v>5887.0799999999945</v>
      </c>
      <c r="G41" s="9" t="s">
        <v>145</v>
      </c>
      <c r="H41" s="7"/>
      <c r="I41" s="4"/>
      <c r="J41" s="19"/>
      <c r="K41" s="16"/>
    </row>
    <row r="42" spans="1:11">
      <c r="A42" s="15">
        <v>43907</v>
      </c>
      <c r="B42" s="4">
        <v>300282</v>
      </c>
      <c r="C42" s="4" t="s">
        <v>57</v>
      </c>
      <c r="D42" s="77">
        <v>5887.08</v>
      </c>
      <c r="E42" s="5"/>
      <c r="F42" s="6">
        <f t="shared" si="0"/>
        <v>-5.4569682106375694E-12</v>
      </c>
      <c r="G42" s="9" t="s">
        <v>34</v>
      </c>
      <c r="H42" s="7" t="s">
        <v>352</v>
      </c>
      <c r="I42" s="4">
        <v>49</v>
      </c>
      <c r="J42" s="19">
        <v>4</v>
      </c>
      <c r="K42" s="16">
        <v>43899</v>
      </c>
    </row>
    <row r="43" spans="1:11">
      <c r="A43" s="15">
        <v>43908</v>
      </c>
      <c r="B43" s="4">
        <v>727220</v>
      </c>
      <c r="C43" s="4" t="s">
        <v>60</v>
      </c>
      <c r="D43" s="77"/>
      <c r="E43" s="77">
        <v>9834.0300000000007</v>
      </c>
      <c r="F43" s="6">
        <f t="shared" si="0"/>
        <v>9834.0299999999952</v>
      </c>
      <c r="G43" s="9" t="s">
        <v>145</v>
      </c>
      <c r="H43" s="7"/>
      <c r="I43" s="4"/>
      <c r="J43" s="19"/>
      <c r="K43" s="16"/>
    </row>
    <row r="44" spans="1:11">
      <c r="A44" s="15">
        <v>43908</v>
      </c>
      <c r="B44" s="4">
        <v>300286</v>
      </c>
      <c r="C44" s="4" t="s">
        <v>57</v>
      </c>
      <c r="D44" s="77">
        <v>9834.0300000000007</v>
      </c>
      <c r="E44" s="5"/>
      <c r="F44" s="6">
        <f t="shared" si="0"/>
        <v>-5.4569682106375694E-12</v>
      </c>
      <c r="G44" s="9" t="s">
        <v>34</v>
      </c>
      <c r="H44" s="7" t="s">
        <v>351</v>
      </c>
      <c r="I44" s="4">
        <v>27</v>
      </c>
      <c r="J44" s="19">
        <v>4</v>
      </c>
      <c r="K44" s="16">
        <v>43899</v>
      </c>
    </row>
    <row r="45" spans="1:11">
      <c r="A45" s="15">
        <v>43910</v>
      </c>
      <c r="B45" s="4">
        <v>480035</v>
      </c>
      <c r="C45" s="4" t="s">
        <v>53</v>
      </c>
      <c r="D45" s="77">
        <v>2944.86</v>
      </c>
      <c r="E45" s="5"/>
      <c r="F45" s="6">
        <f t="shared" si="0"/>
        <v>-2944.8600000000056</v>
      </c>
      <c r="G45" s="9" t="s">
        <v>43</v>
      </c>
      <c r="H45" s="7" t="s">
        <v>134</v>
      </c>
      <c r="I45" s="4">
        <v>42</v>
      </c>
      <c r="J45" s="19">
        <v>1</v>
      </c>
      <c r="K45" s="16">
        <v>43907</v>
      </c>
    </row>
    <row r="46" spans="1:11">
      <c r="A46" s="15">
        <v>43910</v>
      </c>
      <c r="B46" s="4">
        <v>480238</v>
      </c>
      <c r="C46" s="4" t="s">
        <v>53</v>
      </c>
      <c r="D46" s="77">
        <v>393.88</v>
      </c>
      <c r="E46" s="5"/>
      <c r="F46" s="6">
        <f t="shared" si="0"/>
        <v>-3338.7400000000057</v>
      </c>
      <c r="G46" s="9" t="s">
        <v>271</v>
      </c>
      <c r="H46" s="7" t="s">
        <v>256</v>
      </c>
      <c r="I46" s="4">
        <v>9</v>
      </c>
      <c r="J46" s="19">
        <v>1</v>
      </c>
      <c r="K46" s="16">
        <v>43902</v>
      </c>
    </row>
    <row r="47" spans="1:11">
      <c r="A47" s="15">
        <v>43910</v>
      </c>
      <c r="B47" s="4">
        <v>480498</v>
      </c>
      <c r="C47" s="4" t="s">
        <v>53</v>
      </c>
      <c r="D47" s="77">
        <v>1291.1100000000001</v>
      </c>
      <c r="E47" s="5"/>
      <c r="F47" s="6">
        <f t="shared" si="0"/>
        <v>-4629.8500000000058</v>
      </c>
      <c r="G47" s="9" t="s">
        <v>282</v>
      </c>
      <c r="H47" s="7" t="s">
        <v>256</v>
      </c>
      <c r="I47" s="4">
        <v>5</v>
      </c>
      <c r="J47" s="19">
        <v>1</v>
      </c>
      <c r="K47" s="16">
        <v>43902</v>
      </c>
    </row>
    <row r="48" spans="1:11">
      <c r="A48" s="15">
        <v>43910</v>
      </c>
      <c r="B48" s="4">
        <v>880855</v>
      </c>
      <c r="C48" s="4" t="s">
        <v>54</v>
      </c>
      <c r="D48" s="77">
        <v>10118.030000000001</v>
      </c>
      <c r="E48" s="5"/>
      <c r="F48" s="6">
        <f t="shared" si="0"/>
        <v>-14747.880000000006</v>
      </c>
      <c r="G48" s="9" t="s">
        <v>29</v>
      </c>
      <c r="H48" s="7" t="s">
        <v>116</v>
      </c>
      <c r="I48" s="4">
        <v>23</v>
      </c>
      <c r="J48" s="19">
        <v>1</v>
      </c>
      <c r="K48" s="16">
        <v>43901</v>
      </c>
    </row>
    <row r="49" spans="1:11">
      <c r="A49" s="15">
        <v>43910</v>
      </c>
      <c r="B49" s="4">
        <v>632428</v>
      </c>
      <c r="C49" s="4" t="s">
        <v>52</v>
      </c>
      <c r="D49" s="77">
        <v>441.6</v>
      </c>
      <c r="E49" s="5"/>
      <c r="F49" s="6">
        <f t="shared" si="0"/>
        <v>-15189.480000000007</v>
      </c>
      <c r="G49" s="9" t="s">
        <v>150</v>
      </c>
      <c r="H49" s="7" t="s">
        <v>161</v>
      </c>
      <c r="I49" s="4">
        <v>1498010</v>
      </c>
      <c r="J49" s="19">
        <v>1</v>
      </c>
      <c r="K49" s="16">
        <v>43899</v>
      </c>
    </row>
    <row r="50" spans="1:11">
      <c r="A50" s="15">
        <v>43910</v>
      </c>
      <c r="B50" s="4">
        <v>480131</v>
      </c>
      <c r="C50" s="4" t="s">
        <v>53</v>
      </c>
      <c r="D50" s="77">
        <v>985.95</v>
      </c>
      <c r="E50" s="5"/>
      <c r="F50" s="6">
        <f t="shared" si="0"/>
        <v>-16175.430000000008</v>
      </c>
      <c r="G50" s="9" t="s">
        <v>273</v>
      </c>
      <c r="H50" s="7" t="s">
        <v>257</v>
      </c>
      <c r="I50" s="4">
        <v>36</v>
      </c>
      <c r="J50" s="19">
        <v>1</v>
      </c>
      <c r="K50" s="16">
        <v>43907</v>
      </c>
    </row>
    <row r="51" spans="1:11">
      <c r="A51" s="15">
        <v>43910</v>
      </c>
      <c r="B51" s="4">
        <v>727220</v>
      </c>
      <c r="C51" s="4" t="s">
        <v>60</v>
      </c>
      <c r="D51" s="77"/>
      <c r="E51" s="77">
        <v>16175.43</v>
      </c>
      <c r="F51" s="6">
        <f t="shared" si="0"/>
        <v>0</v>
      </c>
      <c r="G51" s="9" t="s">
        <v>145</v>
      </c>
      <c r="H51" s="7"/>
      <c r="I51" s="4"/>
      <c r="J51" s="19"/>
      <c r="K51" s="16"/>
    </row>
    <row r="52" spans="1:11">
      <c r="A52" s="15">
        <v>43913</v>
      </c>
      <c r="B52" s="4">
        <v>300284</v>
      </c>
      <c r="C52" s="4" t="s">
        <v>57</v>
      </c>
      <c r="D52" s="77">
        <v>11000</v>
      </c>
      <c r="E52" s="5"/>
      <c r="F52" s="6">
        <f t="shared" si="0"/>
        <v>-11000</v>
      </c>
      <c r="G52" s="9" t="s">
        <v>34</v>
      </c>
      <c r="H52" s="7" t="s">
        <v>369</v>
      </c>
      <c r="I52" s="4">
        <v>7</v>
      </c>
      <c r="J52" s="19">
        <v>2</v>
      </c>
      <c r="K52" s="16">
        <v>43899</v>
      </c>
    </row>
    <row r="53" spans="1:11">
      <c r="A53" s="15">
        <v>43913</v>
      </c>
      <c r="B53" s="4">
        <v>727220</v>
      </c>
      <c r="C53" s="4" t="s">
        <v>60</v>
      </c>
      <c r="D53" s="77"/>
      <c r="E53" s="77">
        <v>11000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43914</v>
      </c>
      <c r="B54" s="4">
        <v>241407</v>
      </c>
      <c r="C54" s="4" t="s">
        <v>173</v>
      </c>
      <c r="D54" s="77">
        <v>847.94</v>
      </c>
      <c r="E54" s="5"/>
      <c r="F54" s="6">
        <f t="shared" si="0"/>
        <v>-847.94</v>
      </c>
      <c r="G54" s="9" t="s">
        <v>179</v>
      </c>
      <c r="H54" s="7"/>
      <c r="I54" s="4"/>
      <c r="J54" s="19"/>
      <c r="K54" s="16"/>
    </row>
    <row r="55" spans="1:11">
      <c r="A55" s="15">
        <v>43914</v>
      </c>
      <c r="B55" s="4">
        <v>727220</v>
      </c>
      <c r="C55" s="4" t="s">
        <v>60</v>
      </c>
      <c r="D55" s="77"/>
      <c r="E55" s="77">
        <v>847.94</v>
      </c>
      <c r="F55" s="6">
        <f t="shared" si="0"/>
        <v>0</v>
      </c>
      <c r="G55" s="9" t="s">
        <v>145</v>
      </c>
      <c r="H55" s="7"/>
      <c r="I55" s="4"/>
      <c r="J55" s="19"/>
      <c r="K55" s="16"/>
    </row>
    <row r="56" spans="1:11">
      <c r="A56" s="15">
        <v>43915</v>
      </c>
      <c r="B56" s="4">
        <v>727220</v>
      </c>
      <c r="C56" s="4" t="s">
        <v>60</v>
      </c>
      <c r="D56" s="77"/>
      <c r="E56" s="77">
        <v>26047.56</v>
      </c>
      <c r="F56" s="6">
        <f t="shared" si="0"/>
        <v>26047.56</v>
      </c>
      <c r="G56" s="9" t="s">
        <v>145</v>
      </c>
      <c r="H56" s="7"/>
      <c r="I56" s="4"/>
      <c r="J56" s="19"/>
      <c r="K56" s="16"/>
    </row>
    <row r="57" spans="1:11">
      <c r="A57" s="15">
        <v>43915</v>
      </c>
      <c r="B57" s="4">
        <v>251306</v>
      </c>
      <c r="C57" s="4" t="s">
        <v>47</v>
      </c>
      <c r="D57" s="77">
        <v>21442.02</v>
      </c>
      <c r="E57" s="5"/>
      <c r="F57" s="6">
        <f t="shared" si="0"/>
        <v>4605.5400000000009</v>
      </c>
      <c r="G57" s="9" t="s">
        <v>176</v>
      </c>
      <c r="H57" s="7"/>
      <c r="I57" s="4"/>
      <c r="J57" s="19"/>
      <c r="K57" s="16"/>
    </row>
    <row r="58" spans="1:11">
      <c r="A58" s="15">
        <v>43915</v>
      </c>
      <c r="B58" s="4">
        <v>300279</v>
      </c>
      <c r="C58" s="4" t="s">
        <v>57</v>
      </c>
      <c r="D58" s="77">
        <v>4605.54</v>
      </c>
      <c r="E58" s="5"/>
      <c r="F58" s="6">
        <f t="shared" si="0"/>
        <v>9.0949470177292824E-13</v>
      </c>
      <c r="G58" s="9" t="s">
        <v>34</v>
      </c>
      <c r="H58" s="7" t="s">
        <v>189</v>
      </c>
      <c r="I58" s="4">
        <v>28</v>
      </c>
      <c r="J58" s="19">
        <v>19</v>
      </c>
      <c r="K58" s="16">
        <v>43900</v>
      </c>
    </row>
    <row r="59" spans="1:11">
      <c r="A59" s="15">
        <v>43916</v>
      </c>
      <c r="B59" s="4">
        <v>727220</v>
      </c>
      <c r="C59" s="4" t="s">
        <v>60</v>
      </c>
      <c r="D59" s="77"/>
      <c r="E59" s="77">
        <v>1030.5</v>
      </c>
      <c r="F59" s="6">
        <f t="shared" si="0"/>
        <v>1030.5000000000009</v>
      </c>
      <c r="G59" s="9" t="s">
        <v>145</v>
      </c>
      <c r="H59" s="7"/>
      <c r="I59" s="4"/>
      <c r="J59" s="19"/>
      <c r="K59" s="16"/>
    </row>
    <row r="60" spans="1:11">
      <c r="A60" s="15">
        <v>43916</v>
      </c>
      <c r="B60" s="4">
        <v>105305</v>
      </c>
      <c r="C60" s="4" t="s">
        <v>55</v>
      </c>
      <c r="D60" s="77">
        <v>1021</v>
      </c>
      <c r="E60" s="5"/>
      <c r="F60" s="6">
        <f t="shared" si="0"/>
        <v>9.5000000000009095</v>
      </c>
      <c r="G60" s="9" t="s">
        <v>231</v>
      </c>
      <c r="H60" s="7" t="s">
        <v>236</v>
      </c>
      <c r="I60" s="4">
        <v>26234</v>
      </c>
      <c r="J60" s="19">
        <v>1</v>
      </c>
      <c r="K60" s="16">
        <v>43888</v>
      </c>
    </row>
    <row r="61" spans="1:11">
      <c r="A61" s="15">
        <v>43916</v>
      </c>
      <c r="B61" s="4">
        <v>105305</v>
      </c>
      <c r="C61" s="4" t="s">
        <v>32</v>
      </c>
      <c r="D61" s="77">
        <v>9.5</v>
      </c>
      <c r="E61" s="5"/>
      <c r="F61" s="6">
        <f t="shared" si="0"/>
        <v>9.0949470177292824E-13</v>
      </c>
      <c r="G61" s="9" t="s">
        <v>72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24" t="s">
        <v>12</v>
      </c>
      <c r="B63" s="325"/>
      <c r="C63" s="21"/>
      <c r="D63" s="78">
        <f>SUM(D10:D62)</f>
        <v>564545.36</v>
      </c>
      <c r="E63" s="40">
        <f>SUM(E10:E62)</f>
        <v>564545.36</v>
      </c>
      <c r="F63" s="22">
        <f>F9-D63+E63</f>
        <v>0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3" ht="46.5" customHeight="1">
      <c r="A68" s="299" t="s">
        <v>123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</row>
    <row r="69" spans="1:13" ht="18" customHeight="1"/>
    <row r="70" spans="1:13" ht="18" customHeight="1">
      <c r="A70" s="318" t="s">
        <v>388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</row>
    <row r="71" spans="1:13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3">
      <c r="A72" s="319" t="s">
        <v>21</v>
      </c>
      <c r="B72" s="320"/>
      <c r="C72" s="320"/>
      <c r="D72" s="320"/>
      <c r="E72" s="321"/>
      <c r="F72" s="3"/>
      <c r="G72" s="322" t="s">
        <v>20</v>
      </c>
      <c r="H72" s="322"/>
      <c r="I72" s="322"/>
      <c r="J72" s="322"/>
      <c r="K72" s="24"/>
    </row>
    <row r="73" spans="1:13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06">
        <f>SUMIF($G$8:$G$62,G73,$E$8:$E$62)</f>
        <v>293392.95</v>
      </c>
      <c r="J73" s="307"/>
      <c r="K73" s="24"/>
    </row>
    <row r="74" spans="1:13">
      <c r="A74" s="27" t="s">
        <v>149</v>
      </c>
      <c r="B74" s="63"/>
      <c r="C74" s="63"/>
      <c r="D74" s="80"/>
      <c r="E74" s="29">
        <f t="shared" si="1"/>
        <v>290500</v>
      </c>
      <c r="F74" s="3"/>
      <c r="G74" s="316" t="s">
        <v>145</v>
      </c>
      <c r="H74" s="317"/>
      <c r="I74" s="306">
        <f>SUMIF($G$8:$G$62,G74,$E$8:$E$62)</f>
        <v>270935.41000000003</v>
      </c>
      <c r="J74" s="307"/>
      <c r="K74" s="24"/>
    </row>
    <row r="75" spans="1:13">
      <c r="A75" s="27" t="s">
        <v>174</v>
      </c>
      <c r="B75" s="63"/>
      <c r="C75" s="63"/>
      <c r="D75" s="80"/>
      <c r="E75" s="29">
        <f t="shared" si="1"/>
        <v>0</v>
      </c>
      <c r="F75" s="3"/>
      <c r="G75" s="316" t="s">
        <v>368</v>
      </c>
      <c r="H75" s="317"/>
      <c r="I75" s="306">
        <f>SUMIF($G$8:$G$62,G75,$E$8:$E$62)</f>
        <v>0</v>
      </c>
      <c r="J75" s="307"/>
      <c r="K75" s="24"/>
      <c r="M75" s="209" t="s">
        <v>344</v>
      </c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316" t="s">
        <v>234</v>
      </c>
      <c r="H76" s="317"/>
      <c r="I76" s="306">
        <f>SUMIF($G$8:$G$62,G76,$E$8:$E$62)</f>
        <v>217</v>
      </c>
      <c r="J76" s="307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06">
        <f>SUMIF($G$8:$G$62,G77,$E$8:$E$62)</f>
        <v>0</v>
      </c>
      <c r="J77" s="307"/>
      <c r="K77" s="24"/>
    </row>
    <row r="78" spans="1:13">
      <c r="A78" s="27" t="s">
        <v>175</v>
      </c>
      <c r="B78" s="63"/>
      <c r="C78" s="63"/>
      <c r="D78" s="80"/>
      <c r="E78" s="29">
        <f t="shared" si="1"/>
        <v>12470</v>
      </c>
      <c r="F78" s="3"/>
      <c r="G78" s="47" t="s">
        <v>22</v>
      </c>
      <c r="H78" s="48"/>
      <c r="I78" s="302">
        <f>SUM(I73:J77)</f>
        <v>564545.3600000001</v>
      </c>
      <c r="J78" s="303"/>
      <c r="K78" s="61">
        <f>E63-I78</f>
        <v>0</v>
      </c>
    </row>
    <row r="79" spans="1:13">
      <c r="A79" s="62" t="s">
        <v>368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3">
      <c r="A80" s="27" t="s">
        <v>271</v>
      </c>
      <c r="B80" s="63"/>
      <c r="C80" s="63"/>
      <c r="D80" s="80"/>
      <c r="E80" s="29">
        <f t="shared" si="1"/>
        <v>7071.22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239" t="s">
        <v>19</v>
      </c>
      <c r="H81" s="240"/>
      <c r="I81" s="306">
        <f>'CEF Fevereiro 2020'!I81:J81</f>
        <v>334764.5199999999</v>
      </c>
      <c r="J81" s="307"/>
    </row>
    <row r="82" spans="1:11">
      <c r="A82" s="27" t="s">
        <v>270</v>
      </c>
      <c r="B82" s="63"/>
      <c r="C82" s="63"/>
      <c r="D82" s="80"/>
      <c r="E82" s="29">
        <f t="shared" si="1"/>
        <v>91663.74</v>
      </c>
      <c r="F82" s="3"/>
      <c r="G82" s="27" t="s">
        <v>149</v>
      </c>
      <c r="H82" s="240"/>
      <c r="I82" s="306">
        <f>SUMIF($G$8:$G$62,G82,$D$8:$D$62)</f>
        <v>290500</v>
      </c>
      <c r="J82" s="307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16" t="s">
        <v>145</v>
      </c>
      <c r="H83" s="317"/>
      <c r="I83" s="306">
        <f>-SUMIF($G$8:$G$62,G83,$E$8:$E$62)</f>
        <v>-270935.41000000003</v>
      </c>
      <c r="J83" s="307"/>
    </row>
    <row r="84" spans="1:11">
      <c r="A84" s="27" t="s">
        <v>29</v>
      </c>
      <c r="B84" s="63"/>
      <c r="C84" s="63"/>
      <c r="D84" s="80"/>
      <c r="E84" s="29">
        <f t="shared" si="1"/>
        <v>10118.030000000001</v>
      </c>
      <c r="F84" s="3"/>
      <c r="G84" s="239" t="s">
        <v>30</v>
      </c>
      <c r="H84" s="240"/>
      <c r="I84" s="306">
        <v>1255.3499999999999</v>
      </c>
      <c r="J84" s="307"/>
    </row>
    <row r="85" spans="1:11">
      <c r="A85" s="27" t="s">
        <v>282</v>
      </c>
      <c r="B85" s="63"/>
      <c r="C85" s="63"/>
      <c r="D85" s="80"/>
      <c r="E85" s="29">
        <f t="shared" si="1"/>
        <v>1291.1100000000001</v>
      </c>
      <c r="F85" s="3"/>
      <c r="G85" s="30"/>
      <c r="H85" s="31"/>
      <c r="I85" s="314"/>
      <c r="J85" s="315"/>
    </row>
    <row r="86" spans="1:11">
      <c r="A86" s="27" t="s">
        <v>273</v>
      </c>
      <c r="B86" s="63"/>
      <c r="C86" s="63"/>
      <c r="D86" s="80"/>
      <c r="E86" s="29">
        <f t="shared" si="1"/>
        <v>985.95</v>
      </c>
      <c r="F86" s="3"/>
      <c r="G86" s="32" t="s">
        <v>18</v>
      </c>
      <c r="H86" s="31"/>
      <c r="I86" s="310">
        <f>SUM(I81:J84)</f>
        <v>355584.45999999985</v>
      </c>
      <c r="J86" s="311"/>
    </row>
    <row r="87" spans="1:11">
      <c r="A87" s="27" t="s">
        <v>218</v>
      </c>
      <c r="B87" s="63"/>
      <c r="C87" s="63"/>
      <c r="D87" s="80"/>
      <c r="E87" s="29">
        <f t="shared" si="1"/>
        <v>1786.66</v>
      </c>
      <c r="F87" s="3"/>
      <c r="G87" s="49"/>
      <c r="H87" s="41"/>
      <c r="I87" s="41"/>
      <c r="J87" s="241"/>
      <c r="K87" s="24"/>
    </row>
    <row r="88" spans="1:11">
      <c r="A88" s="27" t="s">
        <v>231</v>
      </c>
      <c r="B88" s="63"/>
      <c r="C88" s="63"/>
      <c r="D88" s="80"/>
      <c r="E88" s="29">
        <f t="shared" si="1"/>
        <v>1021</v>
      </c>
      <c r="F88" s="3"/>
      <c r="G88" s="53" t="s">
        <v>62</v>
      </c>
      <c r="H88" s="54"/>
      <c r="I88" s="312"/>
      <c r="J88" s="313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57" t="s">
        <v>19</v>
      </c>
      <c r="H89" s="58"/>
      <c r="I89" s="304">
        <f>'CEF Março 2019'!I88:J88</f>
        <v>0</v>
      </c>
      <c r="J89" s="305"/>
      <c r="K89" s="24"/>
    </row>
    <row r="90" spans="1:11">
      <c r="A90" s="27" t="s">
        <v>150</v>
      </c>
      <c r="B90" s="63"/>
      <c r="C90" s="63"/>
      <c r="D90" s="80"/>
      <c r="E90" s="29">
        <f t="shared" si="1"/>
        <v>1330.19</v>
      </c>
      <c r="F90" s="3"/>
      <c r="G90" s="27" t="s">
        <v>48</v>
      </c>
      <c r="H90" s="240"/>
      <c r="I90" s="306">
        <f>SUMIF($G$8:$G$62,G90,$E$8:$E$62)</f>
        <v>0</v>
      </c>
      <c r="J90" s="307"/>
      <c r="K90" s="24"/>
    </row>
    <row r="91" spans="1:11">
      <c r="A91" s="27" t="s">
        <v>220</v>
      </c>
      <c r="B91" s="63"/>
      <c r="C91" s="63"/>
      <c r="D91" s="80"/>
      <c r="E91" s="29">
        <f t="shared" si="1"/>
        <v>0</v>
      </c>
      <c r="F91" s="3"/>
      <c r="G91" s="239" t="s">
        <v>14</v>
      </c>
      <c r="H91" s="240"/>
      <c r="I91" s="306">
        <f>-SUMIF($G$8:$G$62,G91,$D$8:$D$62)</f>
        <v>0</v>
      </c>
      <c r="J91" s="307"/>
      <c r="K91" s="24"/>
    </row>
    <row r="92" spans="1:11">
      <c r="A92" s="27" t="s">
        <v>151</v>
      </c>
      <c r="B92" s="41"/>
      <c r="C92" s="41"/>
      <c r="D92" s="80"/>
      <c r="E92" s="29">
        <f t="shared" si="1"/>
        <v>9487.68</v>
      </c>
      <c r="F92" s="3"/>
      <c r="G92" s="30"/>
      <c r="H92" s="31"/>
      <c r="I92" s="314"/>
      <c r="J92" s="315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02">
        <f>SUM(I89:J92)</f>
        <v>0</v>
      </c>
      <c r="J93" s="303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21442.02</v>
      </c>
      <c r="F94" s="3"/>
      <c r="G94" s="49"/>
      <c r="H94" s="41"/>
      <c r="I94" s="41"/>
      <c r="J94" s="241"/>
      <c r="K94" s="24"/>
    </row>
    <row r="95" spans="1:11">
      <c r="A95" s="27" t="s">
        <v>272</v>
      </c>
      <c r="B95" s="63"/>
      <c r="C95" s="63"/>
      <c r="D95" s="80"/>
      <c r="E95" s="29">
        <f t="shared" si="1"/>
        <v>496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2944.86</v>
      </c>
      <c r="F96" s="3"/>
      <c r="G96" s="239" t="s">
        <v>19</v>
      </c>
      <c r="H96" s="240"/>
      <c r="I96" s="308">
        <f>'CEF Fevereiro 2020'!I95:J95</f>
        <v>62677.369999999413</v>
      </c>
      <c r="J96" s="309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39" t="s">
        <v>383</v>
      </c>
      <c r="H97" s="240"/>
      <c r="I97" s="291">
        <f>249997.75+16000+16408.72+10986.48</f>
        <v>293392.94999999995</v>
      </c>
      <c r="J97" s="292"/>
      <c r="K97" s="24"/>
    </row>
    <row r="98" spans="1:13">
      <c r="A98" s="27" t="s">
        <v>179</v>
      </c>
      <c r="B98" s="63"/>
      <c r="C98" s="63"/>
      <c r="D98" s="80"/>
      <c r="E98" s="29">
        <f t="shared" si="1"/>
        <v>847.94</v>
      </c>
      <c r="F98" s="3"/>
      <c r="G98" s="239" t="s">
        <v>147</v>
      </c>
      <c r="H98" s="240"/>
      <c r="I98" s="306">
        <f>-SUMIF($G$8:$G$62,G98,$E$8:$E$62)</f>
        <v>-293392.95</v>
      </c>
      <c r="J98" s="307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00"/>
      <c r="J99" s="301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110980.46</v>
      </c>
      <c r="F100" s="3"/>
      <c r="G100" s="32" t="s">
        <v>18</v>
      </c>
      <c r="H100" s="31"/>
      <c r="I100" s="310">
        <f>SUM(I96:J99)</f>
        <v>62677.369999999355</v>
      </c>
      <c r="J100" s="311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108.5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04">
        <f>'CEF Fevereiro 2020'!I102:J102</f>
        <v>21442.020000000008</v>
      </c>
      <c r="J103" s="305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375</v>
      </c>
      <c r="H104" s="41"/>
      <c r="I104" s="306">
        <v>22534.93</v>
      </c>
      <c r="J104" s="307"/>
      <c r="K104" s="24"/>
    </row>
    <row r="105" spans="1:13">
      <c r="A105" s="27" t="s">
        <v>331</v>
      </c>
      <c r="B105" s="63"/>
      <c r="C105" s="63"/>
      <c r="D105" s="80"/>
      <c r="E105" s="29">
        <f t="shared" si="1"/>
        <v>0</v>
      </c>
      <c r="F105" s="3"/>
      <c r="G105" s="27"/>
      <c r="H105" s="56"/>
      <c r="I105" s="306"/>
      <c r="J105" s="307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00">
        <f>-SUMIF($G$8:$G$62,G106,$D$8:$D$62)</f>
        <v>-21442.02</v>
      </c>
      <c r="J106" s="301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02">
        <f>SUM(I103:J106)</f>
        <v>22534.930000000011</v>
      </c>
      <c r="J107" s="303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241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376</v>
      </c>
      <c r="H110" s="240"/>
      <c r="I110" s="291">
        <v>31257.74</v>
      </c>
      <c r="J110" s="292"/>
      <c r="K110" s="24"/>
    </row>
    <row r="111" spans="1:13">
      <c r="A111" s="297" t="s">
        <v>22</v>
      </c>
      <c r="B111" s="298"/>
      <c r="C111" s="298"/>
      <c r="D111" s="81"/>
      <c r="E111" s="35">
        <f>SUM(E73:E109)</f>
        <v>564545.36</v>
      </c>
      <c r="F111" s="3"/>
      <c r="G111" s="27"/>
      <c r="H111" s="240"/>
      <c r="I111" s="291"/>
      <c r="J111" s="292"/>
      <c r="K111" s="24"/>
    </row>
    <row r="112" spans="1:13">
      <c r="E112" s="46">
        <f>D63-E111</f>
        <v>0</v>
      </c>
      <c r="F112" s="3"/>
      <c r="G112" s="27"/>
      <c r="H112" s="41"/>
      <c r="I112" s="295"/>
      <c r="J112" s="296"/>
      <c r="K112" s="24"/>
    </row>
    <row r="113" spans="1:11">
      <c r="F113" s="3"/>
      <c r="G113" s="89" t="s">
        <v>18</v>
      </c>
      <c r="H113" s="88"/>
      <c r="I113" s="302">
        <f>SUM(I110:J112)</f>
        <v>31257.74</v>
      </c>
      <c r="J113" s="303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209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334764.52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27">
        <v>1255.3499999999999</v>
      </c>
      <c r="C4" s="41"/>
      <c r="D4" s="144"/>
      <c r="E4" s="41"/>
      <c r="F4" s="41"/>
    </row>
    <row r="5" spans="1:6" ht="15.75" thickBot="1">
      <c r="A5" s="177"/>
      <c r="B5" s="164">
        <v>217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629629.81999999995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134">
        <f>155842.29</f>
        <v>155842.29</v>
      </c>
      <c r="C11" s="115">
        <f>E36+E38+E40+E42+E43+E46+E48+E50+E53+E56</f>
        <v>135796.91</v>
      </c>
      <c r="D11" s="115"/>
      <c r="E11" s="166">
        <f t="shared" ref="E11:E27" si="0">C11+D11</f>
        <v>135796.91</v>
      </c>
      <c r="F11" s="134">
        <f>11873.06+26.4+58.2+52.5+498+58.7+92593.68+19180.85+335524.47+7588.03+913.91+26585.36+8926.39</f>
        <v>503879.55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113225.16</f>
        <v>113225.16</v>
      </c>
      <c r="C17" s="115">
        <f>E44+E45+E54+E58</f>
        <v>116697.93000000001</v>
      </c>
      <c r="D17" s="115"/>
      <c r="E17" s="166">
        <f t="shared" si="0"/>
        <v>116697.93000000001</v>
      </c>
      <c r="F17" s="134">
        <f>1946.31+3126.59+1721.48+113105.16</f>
        <v>119899.54000000001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108.5</v>
      </c>
      <c r="C25" s="151"/>
      <c r="D25" s="115">
        <v>108.5</v>
      </c>
      <c r="E25" s="166">
        <f t="shared" si="0"/>
        <v>108.5</v>
      </c>
      <c r="F25" s="115"/>
    </row>
    <row r="26" spans="1:10" ht="24.95" customHeight="1" thickBot="1">
      <c r="A26" s="114" t="s">
        <v>196</v>
      </c>
      <c r="B26" s="111">
        <v>22534.93</v>
      </c>
      <c r="C26" s="151">
        <f>E52</f>
        <v>21442.02</v>
      </c>
      <c r="D26" s="111"/>
      <c r="E26" s="166">
        <f t="shared" si="0"/>
        <v>21442.02</v>
      </c>
      <c r="F26" s="115">
        <v>22534.93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291710.88</v>
      </c>
      <c r="C28" s="152">
        <f>SUM(C11:C27)</f>
        <v>273936.86000000004</v>
      </c>
      <c r="D28" s="152">
        <f>SUM(D11:D27)</f>
        <v>108.5</v>
      </c>
      <c r="E28" s="152">
        <f>SUM(E11:E27)</f>
        <v>274045.36000000004</v>
      </c>
      <c r="F28" s="152">
        <f>SUM(F11:F27)</f>
        <v>646314.02</v>
      </c>
      <c r="H28" s="46">
        <f>4110243.69-3463929.67</f>
        <v>646314.02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290500</v>
      </c>
    </row>
    <row r="33" spans="1:7">
      <c r="A33" s="27" t="s">
        <v>174</v>
      </c>
      <c r="B33" s="221"/>
      <c r="C33" s="200"/>
      <c r="D33" s="201"/>
      <c r="E33" s="182">
        <v>0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12470</v>
      </c>
    </row>
    <row r="37" spans="1:7">
      <c r="A37" s="62" t="s">
        <v>368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42"/>
      <c r="D38" s="243"/>
      <c r="E38" s="182">
        <v>7071.22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42"/>
      <c r="D40" s="243"/>
      <c r="E40" s="182">
        <v>91663.74</v>
      </c>
    </row>
    <row r="41" spans="1:7">
      <c r="A41" s="27" t="s">
        <v>219</v>
      </c>
      <c r="B41" s="223"/>
      <c r="C41" s="242"/>
      <c r="D41" s="243"/>
      <c r="E41" s="182">
        <v>0</v>
      </c>
    </row>
    <row r="42" spans="1:7">
      <c r="A42" s="27" t="s">
        <v>29</v>
      </c>
      <c r="B42" s="223"/>
      <c r="C42" s="242"/>
      <c r="D42" s="243"/>
      <c r="E42" s="182">
        <v>10118.030000000001</v>
      </c>
    </row>
    <row r="43" spans="1:7">
      <c r="A43" s="27" t="s">
        <v>282</v>
      </c>
      <c r="B43" s="223"/>
      <c r="C43" s="242"/>
      <c r="D43" s="243"/>
      <c r="E43" s="182">
        <v>1291.1100000000001</v>
      </c>
    </row>
    <row r="44" spans="1:7">
      <c r="A44" s="27" t="s">
        <v>273</v>
      </c>
      <c r="B44" s="223"/>
      <c r="C44" s="242"/>
      <c r="D44" s="243"/>
      <c r="E44" s="182">
        <v>985.95</v>
      </c>
    </row>
    <row r="45" spans="1:7">
      <c r="A45" s="27" t="s">
        <v>218</v>
      </c>
      <c r="B45" s="221"/>
      <c r="C45" s="200"/>
      <c r="D45" s="201"/>
      <c r="E45" s="182">
        <v>1786.66</v>
      </c>
      <c r="G45" s="46"/>
    </row>
    <row r="46" spans="1:7">
      <c r="A46" s="27" t="s">
        <v>231</v>
      </c>
      <c r="B46" s="223"/>
      <c r="C46" s="242"/>
      <c r="D46" s="243"/>
      <c r="E46" s="182">
        <v>1021</v>
      </c>
    </row>
    <row r="47" spans="1:7">
      <c r="A47" s="27" t="s">
        <v>28</v>
      </c>
      <c r="B47" s="223"/>
      <c r="C47" s="242"/>
      <c r="D47" s="243"/>
      <c r="E47" s="182">
        <v>0</v>
      </c>
    </row>
    <row r="48" spans="1:7">
      <c r="A48" s="27" t="s">
        <v>150</v>
      </c>
      <c r="B48" s="223"/>
      <c r="C48" s="242"/>
      <c r="D48" s="243"/>
      <c r="E48" s="182">
        <v>1330.19</v>
      </c>
    </row>
    <row r="49" spans="1:6">
      <c r="A49" s="27" t="s">
        <v>220</v>
      </c>
      <c r="B49" s="223"/>
      <c r="C49" s="242"/>
      <c r="D49" s="243"/>
      <c r="E49" s="182">
        <v>0</v>
      </c>
    </row>
    <row r="50" spans="1:6">
      <c r="A50" s="27" t="s">
        <v>151</v>
      </c>
      <c r="B50" s="223"/>
      <c r="C50" s="242"/>
      <c r="D50" s="243"/>
      <c r="E50" s="182">
        <v>9487.68</v>
      </c>
    </row>
    <row r="51" spans="1:6">
      <c r="A51" s="27" t="s">
        <v>49</v>
      </c>
      <c r="B51" s="223"/>
      <c r="C51" s="242"/>
      <c r="D51" s="243"/>
      <c r="E51" s="182">
        <v>0</v>
      </c>
    </row>
    <row r="52" spans="1:6">
      <c r="A52" s="27" t="s">
        <v>176</v>
      </c>
      <c r="B52" s="223"/>
      <c r="C52" s="242"/>
      <c r="D52" s="243"/>
      <c r="E52" s="182">
        <v>21442.02</v>
      </c>
    </row>
    <row r="53" spans="1:6">
      <c r="A53" s="27" t="s">
        <v>272</v>
      </c>
      <c r="B53" s="223"/>
      <c r="C53" s="242"/>
      <c r="D53" s="243"/>
      <c r="E53" s="182">
        <v>496</v>
      </c>
    </row>
    <row r="54" spans="1:6">
      <c r="A54" s="27" t="s">
        <v>43</v>
      </c>
      <c r="B54" s="223"/>
      <c r="C54" s="242"/>
      <c r="D54" s="243"/>
      <c r="E54" s="182">
        <v>2944.86</v>
      </c>
    </row>
    <row r="55" spans="1:6">
      <c r="A55" s="27" t="s">
        <v>274</v>
      </c>
      <c r="B55" s="223"/>
      <c r="C55" s="242"/>
      <c r="D55" s="243"/>
      <c r="E55" s="182">
        <v>0</v>
      </c>
    </row>
    <row r="56" spans="1:6">
      <c r="A56" s="27" t="s">
        <v>179</v>
      </c>
      <c r="B56" s="223"/>
      <c r="C56" s="242"/>
      <c r="D56" s="243"/>
      <c r="E56" s="182">
        <v>847.94</v>
      </c>
    </row>
    <row r="57" spans="1:6">
      <c r="A57" s="27" t="s">
        <v>146</v>
      </c>
      <c r="B57" s="223"/>
      <c r="C57" s="242"/>
      <c r="D57" s="243"/>
      <c r="E57" s="182">
        <v>0</v>
      </c>
    </row>
    <row r="58" spans="1:6">
      <c r="A58" s="27" t="s">
        <v>34</v>
      </c>
      <c r="B58" s="223"/>
      <c r="C58" s="242"/>
      <c r="D58" s="243"/>
      <c r="E58" s="182">
        <v>110980.46</v>
      </c>
    </row>
    <row r="59" spans="1:6">
      <c r="A59" s="27" t="s">
        <v>178</v>
      </c>
      <c r="B59" s="223"/>
      <c r="C59" s="242"/>
      <c r="D59" s="243"/>
      <c r="E59" s="182">
        <v>0</v>
      </c>
    </row>
    <row r="60" spans="1:6">
      <c r="A60" s="27" t="s">
        <v>72</v>
      </c>
      <c r="B60" s="223"/>
      <c r="C60" s="242"/>
      <c r="D60" s="243"/>
      <c r="E60" s="182">
        <v>108.5</v>
      </c>
    </row>
    <row r="61" spans="1:6">
      <c r="A61" s="27" t="s">
        <v>307</v>
      </c>
      <c r="B61" s="223"/>
      <c r="C61" s="242"/>
      <c r="D61" s="243"/>
      <c r="E61" s="182">
        <v>0</v>
      </c>
    </row>
    <row r="62" spans="1:6">
      <c r="A62" s="27" t="s">
        <v>120</v>
      </c>
      <c r="B62" s="223"/>
      <c r="C62" s="242"/>
      <c r="D62" s="243"/>
      <c r="E62" s="182">
        <v>0</v>
      </c>
    </row>
    <row r="63" spans="1:6">
      <c r="A63" s="27" t="s">
        <v>331</v>
      </c>
      <c r="B63" s="223"/>
      <c r="C63" s="242"/>
      <c r="D63" s="243"/>
      <c r="E63" s="182">
        <v>0</v>
      </c>
    </row>
    <row r="64" spans="1:6">
      <c r="A64" s="27"/>
      <c r="B64" s="220"/>
      <c r="C64" s="242"/>
      <c r="D64" s="243"/>
      <c r="E64" s="183"/>
      <c r="F64" s="46"/>
    </row>
    <row r="65" spans="1:6">
      <c r="A65" s="335"/>
      <c r="B65" s="336"/>
      <c r="C65" s="336"/>
      <c r="D65" s="336"/>
      <c r="E65" s="294"/>
      <c r="F65" s="46"/>
    </row>
    <row r="66" spans="1:6">
      <c r="A66" s="329" t="s">
        <v>22</v>
      </c>
      <c r="B66" s="330"/>
      <c r="C66" s="330"/>
      <c r="D66" s="331"/>
      <c r="E66" s="183">
        <f>SUM(E31:E64)</f>
        <v>274045.36</v>
      </c>
    </row>
    <row r="68" spans="1:6" ht="15.75" thickBot="1">
      <c r="E68" s="244">
        <f>E66-E28</f>
        <v>0</v>
      </c>
    </row>
    <row r="69" spans="1:6" ht="23.25" thickBot="1">
      <c r="A69" s="154" t="s">
        <v>258</v>
      </c>
      <c r="B69" s="95">
        <f>B7</f>
        <v>629629.81999999995</v>
      </c>
    </row>
    <row r="70" spans="1:6" ht="23.25" thickBot="1">
      <c r="A70" s="155" t="s">
        <v>259</v>
      </c>
      <c r="B70" s="98">
        <f>B69-B71</f>
        <v>274045.35999999993</v>
      </c>
      <c r="C70" s="244">
        <f>E66-B70</f>
        <v>0</v>
      </c>
    </row>
    <row r="71" spans="1:6" ht="23.25" thickBot="1">
      <c r="A71" s="155" t="s">
        <v>260</v>
      </c>
      <c r="B71" s="98">
        <v>355584.46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355584.46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378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2020'!F63</f>
        <v>0</v>
      </c>
      <c r="G9" s="9"/>
      <c r="H9" s="7"/>
      <c r="I9" s="4"/>
      <c r="J9" s="19"/>
      <c r="K9" s="16"/>
    </row>
    <row r="10" spans="1:11">
      <c r="A10" s="15">
        <v>43922</v>
      </c>
      <c r="B10" s="4">
        <v>727220</v>
      </c>
      <c r="C10" s="4" t="s">
        <v>60</v>
      </c>
      <c r="D10" s="77"/>
      <c r="E10" s="77">
        <v>11873.06</v>
      </c>
      <c r="F10" s="6">
        <f t="shared" ref="F10:F73" si="0">F9-D10+E10</f>
        <v>11873.06</v>
      </c>
      <c r="G10" s="9" t="s">
        <v>145</v>
      </c>
      <c r="H10" s="7"/>
      <c r="I10" s="4"/>
      <c r="J10" s="19"/>
      <c r="K10" s="16"/>
    </row>
    <row r="11" spans="1:11">
      <c r="A11" s="15">
        <v>43922</v>
      </c>
      <c r="B11" s="4">
        <v>513731</v>
      </c>
      <c r="C11" s="4" t="s">
        <v>52</v>
      </c>
      <c r="D11" s="77">
        <v>11873.06</v>
      </c>
      <c r="E11" s="5"/>
      <c r="F11" s="6">
        <f t="shared" si="0"/>
        <v>0</v>
      </c>
      <c r="G11" s="9" t="s">
        <v>175</v>
      </c>
      <c r="H11" s="7" t="s">
        <v>45</v>
      </c>
      <c r="I11" s="4">
        <v>758397</v>
      </c>
      <c r="J11" s="19">
        <v>25</v>
      </c>
      <c r="K11" s="16">
        <v>43927</v>
      </c>
    </row>
    <row r="12" spans="1:11">
      <c r="A12" s="15">
        <v>43923</v>
      </c>
      <c r="B12" s="4">
        <v>300290</v>
      </c>
      <c r="C12" s="4" t="s">
        <v>57</v>
      </c>
      <c r="D12" s="77">
        <v>1962.22</v>
      </c>
      <c r="E12" s="5"/>
      <c r="F12" s="6">
        <f t="shared" si="0"/>
        <v>-1962.22</v>
      </c>
      <c r="G12" s="9" t="s">
        <v>271</v>
      </c>
      <c r="H12" s="7" t="s">
        <v>103</v>
      </c>
      <c r="I12" s="4"/>
      <c r="J12" s="19"/>
      <c r="K12" s="16"/>
    </row>
    <row r="13" spans="1:11">
      <c r="A13" s="15">
        <v>43923</v>
      </c>
      <c r="B13" s="4">
        <v>300291</v>
      </c>
      <c r="C13" s="4" t="s">
        <v>57</v>
      </c>
      <c r="D13" s="77">
        <v>3955.4500000000003</v>
      </c>
      <c r="E13" s="5"/>
      <c r="F13" s="6">
        <f t="shared" si="0"/>
        <v>-5917.67</v>
      </c>
      <c r="G13" s="9" t="s">
        <v>271</v>
      </c>
      <c r="H13" s="7" t="s">
        <v>380</v>
      </c>
      <c r="I13" s="4"/>
      <c r="J13" s="19"/>
      <c r="K13" s="16"/>
    </row>
    <row r="14" spans="1:11">
      <c r="A14" s="15">
        <v>43923</v>
      </c>
      <c r="B14" s="4">
        <v>300258</v>
      </c>
      <c r="C14" s="4" t="s">
        <v>57</v>
      </c>
      <c r="D14" s="77">
        <v>1797.2</v>
      </c>
      <c r="E14" s="5"/>
      <c r="F14" s="6">
        <f t="shared" si="0"/>
        <v>-7714.87</v>
      </c>
      <c r="G14" s="9" t="s">
        <v>179</v>
      </c>
      <c r="H14" s="7" t="s">
        <v>156</v>
      </c>
      <c r="I14" s="4"/>
      <c r="J14" s="19"/>
      <c r="K14" s="16"/>
    </row>
    <row r="15" spans="1:11">
      <c r="A15" s="15">
        <v>43923</v>
      </c>
      <c r="B15" s="4">
        <v>727220</v>
      </c>
      <c r="C15" s="4" t="s">
        <v>60</v>
      </c>
      <c r="D15" s="77"/>
      <c r="E15" s="77">
        <v>7714.87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43924</v>
      </c>
      <c r="B16" s="4">
        <v>300294</v>
      </c>
      <c r="C16" s="4" t="s">
        <v>57</v>
      </c>
      <c r="D16" s="77">
        <v>3255.89</v>
      </c>
      <c r="E16" s="5"/>
      <c r="F16" s="6">
        <f t="shared" si="0"/>
        <v>-3255.89</v>
      </c>
      <c r="G16" s="9" t="s">
        <v>271</v>
      </c>
      <c r="H16" s="7" t="s">
        <v>87</v>
      </c>
      <c r="I16" s="4"/>
      <c r="J16" s="19"/>
      <c r="K16" s="16"/>
    </row>
    <row r="17" spans="1:11">
      <c r="A17" s="15">
        <v>43924</v>
      </c>
      <c r="B17" s="4">
        <v>727220</v>
      </c>
      <c r="C17" s="4" t="s">
        <v>60</v>
      </c>
      <c r="D17" s="77"/>
      <c r="E17" s="77">
        <v>5202.2</v>
      </c>
      <c r="F17" s="6">
        <f t="shared" si="0"/>
        <v>1946.31</v>
      </c>
      <c r="G17" s="9" t="s">
        <v>145</v>
      </c>
      <c r="H17" s="7"/>
      <c r="I17" s="4"/>
      <c r="J17" s="19"/>
      <c r="K17" s="16"/>
    </row>
    <row r="18" spans="1:11">
      <c r="A18" s="15">
        <v>43924</v>
      </c>
      <c r="B18" s="4">
        <v>300401</v>
      </c>
      <c r="C18" s="4" t="s">
        <v>57</v>
      </c>
      <c r="D18" s="77">
        <v>1946.31</v>
      </c>
      <c r="E18" s="5"/>
      <c r="F18" s="6">
        <f t="shared" si="0"/>
        <v>0</v>
      </c>
      <c r="G18" s="9" t="s">
        <v>178</v>
      </c>
      <c r="H18" s="7" t="s">
        <v>310</v>
      </c>
      <c r="I18" s="4">
        <v>76</v>
      </c>
      <c r="J18" s="19">
        <v>10</v>
      </c>
      <c r="K18" s="16">
        <v>43894</v>
      </c>
    </row>
    <row r="19" spans="1:11">
      <c r="A19" s="15">
        <v>43927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43927</v>
      </c>
      <c r="B20" s="4">
        <v>300293</v>
      </c>
      <c r="C20" s="4" t="s">
        <v>57</v>
      </c>
      <c r="D20" s="77">
        <v>3255.89</v>
      </c>
      <c r="E20" s="5"/>
      <c r="F20" s="6">
        <f t="shared" si="0"/>
        <v>84062.13</v>
      </c>
      <c r="G20" s="9" t="s">
        <v>271</v>
      </c>
      <c r="H20" s="7" t="s">
        <v>381</v>
      </c>
      <c r="I20" s="4"/>
      <c r="J20" s="19"/>
      <c r="K20" s="16"/>
    </row>
    <row r="21" spans="1:11">
      <c r="A21" s="15">
        <v>43927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290137.06</v>
      </c>
      <c r="G21" s="9" t="s">
        <v>147</v>
      </c>
      <c r="H21" s="7"/>
      <c r="I21" s="4"/>
      <c r="J21" s="19"/>
      <c r="K21" s="16"/>
    </row>
    <row r="22" spans="1:11">
      <c r="A22" s="15">
        <v>43927</v>
      </c>
      <c r="B22" s="4">
        <v>32020</v>
      </c>
      <c r="C22" s="4" t="s">
        <v>188</v>
      </c>
      <c r="D22" s="77">
        <v>99</v>
      </c>
      <c r="E22" s="5"/>
      <c r="F22" s="6">
        <f t="shared" si="0"/>
        <v>290038.06</v>
      </c>
      <c r="G22" s="9" t="s">
        <v>72</v>
      </c>
      <c r="H22" s="7"/>
      <c r="I22" s="4"/>
      <c r="J22" s="19"/>
      <c r="K22" s="16"/>
    </row>
    <row r="23" spans="1:11">
      <c r="A23" s="15">
        <v>43928</v>
      </c>
      <c r="B23" s="4">
        <v>309379</v>
      </c>
      <c r="C23" s="4" t="s">
        <v>172</v>
      </c>
      <c r="D23" s="77">
        <v>90796.479999999996</v>
      </c>
      <c r="E23" s="5"/>
      <c r="F23" s="6">
        <f t="shared" si="0"/>
        <v>199241.58000000002</v>
      </c>
      <c r="G23" s="9" t="s">
        <v>270</v>
      </c>
      <c r="H23" s="7"/>
      <c r="I23" s="4"/>
      <c r="J23" s="19"/>
      <c r="K23" s="16"/>
    </row>
    <row r="24" spans="1:11">
      <c r="A24" s="15">
        <v>43928</v>
      </c>
      <c r="B24" s="4">
        <v>300296</v>
      </c>
      <c r="C24" s="4" t="s">
        <v>57</v>
      </c>
      <c r="D24" s="77">
        <v>3285.17</v>
      </c>
      <c r="E24" s="5"/>
      <c r="F24" s="6">
        <f t="shared" si="0"/>
        <v>195956.41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43928</v>
      </c>
      <c r="B25" s="4">
        <v>7</v>
      </c>
      <c r="C25" s="4" t="s">
        <v>269</v>
      </c>
      <c r="D25" s="77">
        <v>80</v>
      </c>
      <c r="E25" s="5"/>
      <c r="F25" s="6">
        <f t="shared" si="0"/>
        <v>195876.41</v>
      </c>
      <c r="G25" s="9" t="s">
        <v>72</v>
      </c>
      <c r="H25" s="7"/>
      <c r="I25" s="4"/>
      <c r="J25" s="19"/>
      <c r="K25" s="16"/>
    </row>
    <row r="26" spans="1:11">
      <c r="A26" s="15">
        <v>43928</v>
      </c>
      <c r="B26" s="4">
        <v>190882</v>
      </c>
      <c r="C26" s="4" t="s">
        <v>55</v>
      </c>
      <c r="D26" s="77">
        <v>495.84000000000003</v>
      </c>
      <c r="E26" s="5"/>
      <c r="F26" s="6">
        <f t="shared" si="0"/>
        <v>195380.57</v>
      </c>
      <c r="G26" s="9" t="s">
        <v>272</v>
      </c>
      <c r="H26" s="7" t="s">
        <v>117</v>
      </c>
      <c r="I26" s="4">
        <v>16</v>
      </c>
      <c r="J26" s="19">
        <v>1</v>
      </c>
      <c r="K26" s="16"/>
    </row>
    <row r="27" spans="1:11">
      <c r="A27" s="15">
        <v>43929</v>
      </c>
      <c r="B27" s="4">
        <v>727220</v>
      </c>
      <c r="C27" s="4" t="s">
        <v>60</v>
      </c>
      <c r="D27" s="77"/>
      <c r="E27" s="77">
        <v>2202.67</v>
      </c>
      <c r="F27" s="6">
        <f t="shared" si="0"/>
        <v>197583.24000000002</v>
      </c>
      <c r="G27" s="9" t="s">
        <v>145</v>
      </c>
      <c r="H27" s="7"/>
      <c r="I27" s="4"/>
      <c r="J27" s="19"/>
      <c r="K27" s="16"/>
    </row>
    <row r="28" spans="1:11">
      <c r="A28" s="15">
        <v>43929</v>
      </c>
      <c r="B28" s="4">
        <v>300297</v>
      </c>
      <c r="C28" s="4" t="s">
        <v>57</v>
      </c>
      <c r="D28" s="77">
        <v>2202.67</v>
      </c>
      <c r="E28" s="5"/>
      <c r="F28" s="6">
        <f t="shared" si="0"/>
        <v>195380.57</v>
      </c>
      <c r="G28" s="9" t="s">
        <v>271</v>
      </c>
      <c r="H28" s="7" t="s">
        <v>78</v>
      </c>
      <c r="I28" s="4"/>
      <c r="J28" s="19"/>
      <c r="K28" s="16"/>
    </row>
    <row r="29" spans="1:11">
      <c r="A29" s="15">
        <v>43929</v>
      </c>
      <c r="B29" s="4">
        <v>569332</v>
      </c>
      <c r="C29" s="4" t="s">
        <v>58</v>
      </c>
      <c r="D29" s="77">
        <v>195380.57</v>
      </c>
      <c r="E29" s="5"/>
      <c r="F29" s="6">
        <f t="shared" si="0"/>
        <v>0</v>
      </c>
      <c r="G29" s="9" t="s">
        <v>149</v>
      </c>
      <c r="H29" s="7"/>
      <c r="I29" s="4"/>
      <c r="J29" s="19"/>
      <c r="K29" s="16"/>
    </row>
    <row r="30" spans="1:11">
      <c r="A30" s="15">
        <v>43934</v>
      </c>
      <c r="B30" s="4">
        <v>300295</v>
      </c>
      <c r="C30" s="4" t="s">
        <v>57</v>
      </c>
      <c r="D30" s="77">
        <v>2971.4500000000003</v>
      </c>
      <c r="E30" s="5"/>
      <c r="F30" s="6">
        <f t="shared" si="0"/>
        <v>-2971.4500000000003</v>
      </c>
      <c r="G30" s="9" t="s">
        <v>271</v>
      </c>
      <c r="H30" s="7" t="s">
        <v>102</v>
      </c>
      <c r="I30" s="4"/>
      <c r="J30" s="19"/>
      <c r="K30" s="16"/>
    </row>
    <row r="31" spans="1:11">
      <c r="A31" s="15">
        <v>43934</v>
      </c>
      <c r="B31" s="4">
        <v>300298</v>
      </c>
      <c r="C31" s="4" t="s">
        <v>57</v>
      </c>
      <c r="D31" s="77">
        <v>3256.73</v>
      </c>
      <c r="E31" s="5"/>
      <c r="F31" s="6">
        <f t="shared" si="0"/>
        <v>-6228.18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43934</v>
      </c>
      <c r="B32" s="4">
        <v>727220</v>
      </c>
      <c r="C32" s="4" t="s">
        <v>60</v>
      </c>
      <c r="D32" s="77"/>
      <c r="E32" s="77">
        <v>8386.16</v>
      </c>
      <c r="F32" s="6">
        <f t="shared" si="0"/>
        <v>2157.9799999999996</v>
      </c>
      <c r="G32" s="9" t="s">
        <v>145</v>
      </c>
      <c r="H32" s="7"/>
      <c r="I32" s="4"/>
      <c r="J32" s="19"/>
      <c r="K32" s="16"/>
    </row>
    <row r="33" spans="1:11">
      <c r="A33" s="15">
        <v>43934</v>
      </c>
      <c r="B33" s="4">
        <v>228668</v>
      </c>
      <c r="C33" s="4" t="s">
        <v>216</v>
      </c>
      <c r="D33" s="77">
        <v>1721.48</v>
      </c>
      <c r="E33" s="5"/>
      <c r="F33" s="6">
        <f t="shared" si="0"/>
        <v>436.49999999999955</v>
      </c>
      <c r="G33" s="9" t="s">
        <v>218</v>
      </c>
      <c r="H33" s="7" t="s">
        <v>222</v>
      </c>
      <c r="I33" s="4">
        <v>889311140</v>
      </c>
      <c r="J33" s="19">
        <v>1</v>
      </c>
      <c r="K33" s="16"/>
    </row>
    <row r="34" spans="1:11">
      <c r="A34" s="15">
        <v>43934</v>
      </c>
      <c r="B34" s="4">
        <v>262491</v>
      </c>
      <c r="C34" s="4" t="s">
        <v>52</v>
      </c>
      <c r="D34" s="77">
        <v>384</v>
      </c>
      <c r="E34" s="5"/>
      <c r="F34" s="6">
        <f t="shared" si="0"/>
        <v>52.499999999999545</v>
      </c>
      <c r="G34" s="9" t="s">
        <v>231</v>
      </c>
      <c r="H34" s="7" t="s">
        <v>239</v>
      </c>
      <c r="I34" s="4">
        <v>24175</v>
      </c>
      <c r="J34" s="19">
        <v>1</v>
      </c>
      <c r="K34" s="16">
        <v>43901</v>
      </c>
    </row>
    <row r="35" spans="1:11">
      <c r="A35" s="15">
        <v>43934</v>
      </c>
      <c r="B35" s="4">
        <v>261110</v>
      </c>
      <c r="C35" s="4" t="s">
        <v>52</v>
      </c>
      <c r="D35" s="77">
        <v>52.5</v>
      </c>
      <c r="E35" s="5"/>
      <c r="F35" s="6">
        <f t="shared" si="0"/>
        <v>-4.5474735088646412E-13</v>
      </c>
      <c r="G35" s="9" t="s">
        <v>231</v>
      </c>
      <c r="H35" s="7" t="s">
        <v>239</v>
      </c>
      <c r="I35" s="4">
        <v>24176</v>
      </c>
      <c r="J35" s="19">
        <v>1</v>
      </c>
      <c r="K35" s="16">
        <v>43901</v>
      </c>
    </row>
    <row r="36" spans="1:11">
      <c r="A36" s="15">
        <v>43935</v>
      </c>
      <c r="B36" s="4">
        <v>300412</v>
      </c>
      <c r="C36" s="4" t="s">
        <v>57</v>
      </c>
      <c r="D36" s="77">
        <v>4605.54</v>
      </c>
      <c r="E36" s="5"/>
      <c r="F36" s="6">
        <f t="shared" si="0"/>
        <v>-4605.5400000000009</v>
      </c>
      <c r="G36" s="9" t="s">
        <v>178</v>
      </c>
      <c r="H36" s="7" t="s">
        <v>189</v>
      </c>
      <c r="I36" s="4">
        <v>32</v>
      </c>
      <c r="J36" s="19">
        <v>20</v>
      </c>
      <c r="K36" s="16">
        <v>43930</v>
      </c>
    </row>
    <row r="37" spans="1:11">
      <c r="A37" s="15">
        <v>43935</v>
      </c>
      <c r="B37" s="4">
        <v>300409</v>
      </c>
      <c r="C37" s="4" t="s">
        <v>57</v>
      </c>
      <c r="D37" s="77">
        <v>4905.9000000000005</v>
      </c>
      <c r="E37" s="5"/>
      <c r="F37" s="6">
        <f t="shared" si="0"/>
        <v>-9511.4400000000023</v>
      </c>
      <c r="G37" s="9" t="s">
        <v>178</v>
      </c>
      <c r="H37" s="7" t="s">
        <v>352</v>
      </c>
      <c r="I37" s="4">
        <v>51</v>
      </c>
      <c r="J37" s="19">
        <v>5</v>
      </c>
      <c r="K37" s="16">
        <v>43929</v>
      </c>
    </row>
    <row r="38" spans="1:11">
      <c r="A38" s="15">
        <v>43935</v>
      </c>
      <c r="B38" s="4">
        <v>727220</v>
      </c>
      <c r="C38" s="4" t="s">
        <v>60</v>
      </c>
      <c r="D38" s="77"/>
      <c r="E38" s="77">
        <v>64452.39</v>
      </c>
      <c r="F38" s="6">
        <f t="shared" si="0"/>
        <v>54940.95</v>
      </c>
      <c r="G38" s="9" t="s">
        <v>145</v>
      </c>
      <c r="H38" s="7"/>
      <c r="I38" s="4"/>
      <c r="J38" s="19"/>
      <c r="K38" s="16"/>
    </row>
    <row r="39" spans="1:11">
      <c r="A39" s="15">
        <v>43935</v>
      </c>
      <c r="B39" s="4">
        <v>300404</v>
      </c>
      <c r="C39" s="4" t="s">
        <v>57</v>
      </c>
      <c r="D39" s="77">
        <v>4054.32</v>
      </c>
      <c r="E39" s="5"/>
      <c r="F39" s="6">
        <f t="shared" si="0"/>
        <v>50886.63</v>
      </c>
      <c r="G39" s="9" t="s">
        <v>178</v>
      </c>
      <c r="H39" s="7" t="s">
        <v>341</v>
      </c>
      <c r="I39" s="4">
        <v>314</v>
      </c>
      <c r="J39" s="19">
        <v>7</v>
      </c>
      <c r="K39" s="16">
        <v>43928</v>
      </c>
    </row>
    <row r="40" spans="1:11">
      <c r="A40" s="15">
        <v>43935</v>
      </c>
      <c r="B40" s="4">
        <v>300410</v>
      </c>
      <c r="C40" s="4" t="s">
        <v>57</v>
      </c>
      <c r="D40" s="77">
        <v>12755.34</v>
      </c>
      <c r="E40" s="5"/>
      <c r="F40" s="6">
        <f t="shared" si="0"/>
        <v>38131.289999999994</v>
      </c>
      <c r="G40" s="9" t="s">
        <v>178</v>
      </c>
      <c r="H40" s="7" t="s">
        <v>342</v>
      </c>
      <c r="I40" s="4">
        <v>7</v>
      </c>
      <c r="J40" s="19">
        <v>7</v>
      </c>
      <c r="K40" s="16">
        <v>43928</v>
      </c>
    </row>
    <row r="41" spans="1:11">
      <c r="A41" s="15">
        <v>43935</v>
      </c>
      <c r="B41" s="4">
        <v>300415</v>
      </c>
      <c r="C41" s="4" t="s">
        <v>57</v>
      </c>
      <c r="D41" s="77">
        <v>2997.15</v>
      </c>
      <c r="E41" s="5"/>
      <c r="F41" s="6">
        <f t="shared" si="0"/>
        <v>35134.139999999992</v>
      </c>
      <c r="G41" s="9" t="s">
        <v>178</v>
      </c>
      <c r="H41" s="7" t="s">
        <v>351</v>
      </c>
      <c r="I41" s="4">
        <v>29</v>
      </c>
      <c r="J41" s="19">
        <v>5</v>
      </c>
      <c r="K41" s="16">
        <v>43928</v>
      </c>
    </row>
    <row r="42" spans="1:11">
      <c r="A42" s="15">
        <v>43935</v>
      </c>
      <c r="B42" s="4">
        <v>473052</v>
      </c>
      <c r="C42" s="4" t="s">
        <v>52</v>
      </c>
      <c r="D42" s="77">
        <v>26.400000000000002</v>
      </c>
      <c r="E42" s="5"/>
      <c r="F42" s="6">
        <f t="shared" si="0"/>
        <v>35107.739999999991</v>
      </c>
      <c r="G42" s="9" t="s">
        <v>28</v>
      </c>
      <c r="H42" s="7" t="s">
        <v>46</v>
      </c>
      <c r="I42" s="4">
        <v>3187</v>
      </c>
      <c r="J42" s="19">
        <v>1</v>
      </c>
      <c r="K42" s="16">
        <v>43903</v>
      </c>
    </row>
    <row r="43" spans="1:11">
      <c r="A43" s="15">
        <v>43935</v>
      </c>
      <c r="B43" s="4">
        <v>472550</v>
      </c>
      <c r="C43" s="4" t="s">
        <v>52</v>
      </c>
      <c r="D43" s="77">
        <v>571.4</v>
      </c>
      <c r="E43" s="5"/>
      <c r="F43" s="6">
        <f t="shared" si="0"/>
        <v>34536.339999999989</v>
      </c>
      <c r="G43" s="9" t="s">
        <v>231</v>
      </c>
      <c r="H43" s="7" t="s">
        <v>319</v>
      </c>
      <c r="I43" s="4">
        <v>6895</v>
      </c>
      <c r="J43" s="19">
        <v>1</v>
      </c>
      <c r="K43" s="16">
        <v>43907</v>
      </c>
    </row>
    <row r="44" spans="1:11">
      <c r="A44" s="15">
        <v>43935</v>
      </c>
      <c r="B44" s="4">
        <v>300406</v>
      </c>
      <c r="C44" s="4" t="s">
        <v>57</v>
      </c>
      <c r="D44" s="77">
        <v>15698.880000000001</v>
      </c>
      <c r="E44" s="5"/>
      <c r="F44" s="6">
        <f t="shared" si="0"/>
        <v>18837.459999999988</v>
      </c>
      <c r="G44" s="9" t="s">
        <v>178</v>
      </c>
      <c r="H44" s="7" t="s">
        <v>224</v>
      </c>
      <c r="I44" s="4">
        <v>48</v>
      </c>
      <c r="J44" s="19">
        <v>8</v>
      </c>
      <c r="K44" s="16">
        <v>43928</v>
      </c>
    </row>
    <row r="45" spans="1:11">
      <c r="A45" s="15">
        <v>43935</v>
      </c>
      <c r="B45" s="4">
        <v>300405</v>
      </c>
      <c r="C45" s="4" t="s">
        <v>57</v>
      </c>
      <c r="D45" s="77">
        <v>18837.46</v>
      </c>
      <c r="E45" s="5"/>
      <c r="F45" s="6">
        <f t="shared" si="0"/>
        <v>-1.0913936421275139E-11</v>
      </c>
      <c r="G45" s="9" t="s">
        <v>178</v>
      </c>
      <c r="H45" s="7" t="s">
        <v>128</v>
      </c>
      <c r="I45" s="4">
        <v>60</v>
      </c>
      <c r="J45" s="19">
        <v>19</v>
      </c>
      <c r="K45" s="16">
        <v>43929</v>
      </c>
    </row>
    <row r="46" spans="1:11">
      <c r="A46" s="15">
        <v>43936</v>
      </c>
      <c r="B46" s="4">
        <v>300413</v>
      </c>
      <c r="C46" s="4" t="s">
        <v>57</v>
      </c>
      <c r="D46" s="77">
        <v>1945.72</v>
      </c>
      <c r="E46" s="5"/>
      <c r="F46" s="6">
        <f t="shared" si="0"/>
        <v>-1945.7200000000109</v>
      </c>
      <c r="G46" s="9" t="s">
        <v>178</v>
      </c>
      <c r="H46" s="7" t="s">
        <v>310</v>
      </c>
      <c r="I46" s="4">
        <v>81</v>
      </c>
      <c r="J46" s="19">
        <v>11</v>
      </c>
      <c r="K46" s="16">
        <v>43929</v>
      </c>
    </row>
    <row r="47" spans="1:11">
      <c r="A47" s="15">
        <v>43936</v>
      </c>
      <c r="B47" s="4">
        <v>300408</v>
      </c>
      <c r="C47" s="4" t="s">
        <v>57</v>
      </c>
      <c r="D47" s="77">
        <v>4320</v>
      </c>
      <c r="E47" s="5"/>
      <c r="F47" s="6">
        <f t="shared" si="0"/>
        <v>-6265.7200000000112</v>
      </c>
      <c r="G47" s="9" t="s">
        <v>178</v>
      </c>
      <c r="H47" s="7" t="s">
        <v>302</v>
      </c>
      <c r="I47" s="4">
        <v>120</v>
      </c>
      <c r="J47" s="19">
        <v>12</v>
      </c>
      <c r="K47" s="16">
        <v>43929</v>
      </c>
    </row>
    <row r="48" spans="1:11">
      <c r="A48" s="15">
        <v>43936</v>
      </c>
      <c r="B48" s="4">
        <v>300414</v>
      </c>
      <c r="C48" s="4" t="s">
        <v>57</v>
      </c>
      <c r="D48" s="77">
        <v>2180.4</v>
      </c>
      <c r="E48" s="5"/>
      <c r="F48" s="6">
        <f t="shared" si="0"/>
        <v>-8446.1200000000117</v>
      </c>
      <c r="G48" s="9" t="s">
        <v>178</v>
      </c>
      <c r="H48" s="7" t="s">
        <v>343</v>
      </c>
      <c r="I48" s="4">
        <v>913</v>
      </c>
      <c r="J48" s="19">
        <v>7</v>
      </c>
      <c r="K48" s="16">
        <v>43922</v>
      </c>
    </row>
    <row r="49" spans="1:11">
      <c r="A49" s="15">
        <v>43936</v>
      </c>
      <c r="B49" s="4">
        <v>727220</v>
      </c>
      <c r="C49" s="4" t="s">
        <v>60</v>
      </c>
      <c r="D49" s="77"/>
      <c r="E49" s="77">
        <v>19446.12</v>
      </c>
      <c r="F49" s="6">
        <f t="shared" si="0"/>
        <v>10999.999999999987</v>
      </c>
      <c r="G49" s="9" t="s">
        <v>145</v>
      </c>
      <c r="H49" s="7"/>
      <c r="I49" s="4"/>
      <c r="J49" s="19"/>
      <c r="K49" s="16"/>
    </row>
    <row r="50" spans="1:11">
      <c r="A50" s="15">
        <v>43936</v>
      </c>
      <c r="B50" s="4">
        <v>300407</v>
      </c>
      <c r="C50" s="4" t="s">
        <v>57</v>
      </c>
      <c r="D50" s="77">
        <v>11000</v>
      </c>
      <c r="E50" s="5"/>
      <c r="F50" s="6">
        <f t="shared" si="0"/>
        <v>-1.2732925824820995E-11</v>
      </c>
      <c r="G50" s="9" t="s">
        <v>178</v>
      </c>
      <c r="H50" s="7" t="s">
        <v>369</v>
      </c>
      <c r="I50" s="4">
        <v>9</v>
      </c>
      <c r="J50" s="19">
        <v>3</v>
      </c>
      <c r="K50" s="16">
        <v>43929</v>
      </c>
    </row>
    <row r="51" spans="1:11">
      <c r="A51" s="15">
        <v>43937</v>
      </c>
      <c r="B51" s="4">
        <v>300403</v>
      </c>
      <c r="C51" s="4" t="s">
        <v>57</v>
      </c>
      <c r="D51" s="77">
        <v>7451.6100000000006</v>
      </c>
      <c r="E51" s="5"/>
      <c r="F51" s="6">
        <f t="shared" si="0"/>
        <v>-7451.6100000000133</v>
      </c>
      <c r="G51" s="9" t="s">
        <v>178</v>
      </c>
      <c r="H51" s="7" t="s">
        <v>361</v>
      </c>
      <c r="I51" s="4">
        <v>47</v>
      </c>
      <c r="J51" s="19">
        <v>1</v>
      </c>
      <c r="K51" s="16">
        <v>43928</v>
      </c>
    </row>
    <row r="52" spans="1:11">
      <c r="A52" s="15">
        <v>43937</v>
      </c>
      <c r="B52" s="4">
        <v>727220</v>
      </c>
      <c r="C52" s="4" t="s">
        <v>60</v>
      </c>
      <c r="D52" s="77"/>
      <c r="E52" s="77">
        <v>26546.240000000002</v>
      </c>
      <c r="F52" s="6">
        <f t="shared" si="0"/>
        <v>19094.62999999999</v>
      </c>
      <c r="G52" s="9" t="s">
        <v>145</v>
      </c>
      <c r="H52" s="7"/>
      <c r="I52" s="4"/>
      <c r="J52" s="19"/>
      <c r="K52" s="16"/>
    </row>
    <row r="53" spans="1:11">
      <c r="A53" s="15">
        <v>43937</v>
      </c>
      <c r="B53" s="4">
        <v>300411</v>
      </c>
      <c r="C53" s="4" t="s">
        <v>57</v>
      </c>
      <c r="D53" s="77">
        <v>14302.74</v>
      </c>
      <c r="E53" s="5"/>
      <c r="F53" s="6">
        <f t="shared" si="0"/>
        <v>4791.8899999999903</v>
      </c>
      <c r="G53" s="9" t="s">
        <v>178</v>
      </c>
      <c r="H53" s="7" t="s">
        <v>127</v>
      </c>
      <c r="I53" s="4">
        <v>88</v>
      </c>
      <c r="J53" s="19">
        <v>12</v>
      </c>
      <c r="K53" s="16">
        <v>43930</v>
      </c>
    </row>
    <row r="54" spans="1:11">
      <c r="A54" s="15">
        <v>43937</v>
      </c>
      <c r="B54" s="4">
        <v>161352</v>
      </c>
      <c r="C54" s="4" t="s">
        <v>173</v>
      </c>
      <c r="D54" s="77">
        <v>2352</v>
      </c>
      <c r="E54" s="5"/>
      <c r="F54" s="6">
        <f t="shared" si="0"/>
        <v>2439.8899999999903</v>
      </c>
      <c r="G54" s="9" t="s">
        <v>178</v>
      </c>
      <c r="H54" s="7" t="s">
        <v>223</v>
      </c>
      <c r="I54" s="4">
        <v>592</v>
      </c>
      <c r="J54" s="19">
        <v>11</v>
      </c>
      <c r="K54" s="16">
        <v>43924</v>
      </c>
    </row>
    <row r="55" spans="1:11">
      <c r="A55" s="15">
        <v>43937</v>
      </c>
      <c r="B55" s="4">
        <v>300299</v>
      </c>
      <c r="C55" s="4" t="s">
        <v>57</v>
      </c>
      <c r="D55" s="77">
        <v>2439.89</v>
      </c>
      <c r="E55" s="5"/>
      <c r="F55" s="6">
        <f t="shared" si="0"/>
        <v>-9.5496943686157465E-12</v>
      </c>
      <c r="G55" s="9" t="s">
        <v>271</v>
      </c>
      <c r="H55" s="7" t="s">
        <v>109</v>
      </c>
      <c r="I55" s="4"/>
      <c r="J55" s="19"/>
      <c r="K55" s="16"/>
    </row>
    <row r="56" spans="1:11">
      <c r="A56" s="15">
        <v>43938</v>
      </c>
      <c r="B56" s="4">
        <v>727220</v>
      </c>
      <c r="C56" s="4" t="s">
        <v>60</v>
      </c>
      <c r="D56" s="77"/>
      <c r="E56" s="77">
        <v>1451.46</v>
      </c>
      <c r="F56" s="6">
        <f t="shared" si="0"/>
        <v>1451.4599999999905</v>
      </c>
      <c r="G56" s="9" t="s">
        <v>145</v>
      </c>
      <c r="H56" s="7"/>
      <c r="I56" s="4"/>
      <c r="J56" s="19"/>
      <c r="K56" s="16"/>
    </row>
    <row r="57" spans="1:11">
      <c r="A57" s="15">
        <v>43938</v>
      </c>
      <c r="B57" s="4">
        <v>300420</v>
      </c>
      <c r="C57" s="4" t="s">
        <v>57</v>
      </c>
      <c r="D57" s="77">
        <v>1451.46</v>
      </c>
      <c r="E57" s="5"/>
      <c r="F57" s="6">
        <f t="shared" si="0"/>
        <v>-9.5496943686157465E-12</v>
      </c>
      <c r="G57" s="9" t="s">
        <v>271</v>
      </c>
      <c r="H57" s="7" t="s">
        <v>90</v>
      </c>
      <c r="I57" s="4"/>
      <c r="J57" s="19"/>
      <c r="K57" s="16"/>
    </row>
    <row r="58" spans="1:11">
      <c r="A58" s="15">
        <v>43941</v>
      </c>
      <c r="B58" s="4">
        <v>940748</v>
      </c>
      <c r="C58" s="4" t="s">
        <v>52</v>
      </c>
      <c r="D58" s="77">
        <v>73.05</v>
      </c>
      <c r="E58" s="5"/>
      <c r="F58" s="6">
        <f t="shared" si="0"/>
        <v>-73.050000000009547</v>
      </c>
      <c r="G58" s="9" t="s">
        <v>379</v>
      </c>
      <c r="H58" s="7" t="s">
        <v>237</v>
      </c>
      <c r="I58" s="4">
        <v>234264</v>
      </c>
      <c r="J58" s="19">
        <v>1</v>
      </c>
      <c r="K58" s="16">
        <v>43911</v>
      </c>
    </row>
    <row r="59" spans="1:11">
      <c r="A59" s="15">
        <v>43941</v>
      </c>
      <c r="B59" s="4">
        <v>942064</v>
      </c>
      <c r="C59" s="4" t="s">
        <v>52</v>
      </c>
      <c r="D59" s="77">
        <v>441.6</v>
      </c>
      <c r="E59" s="5"/>
      <c r="F59" s="6">
        <f t="shared" si="0"/>
        <v>-514.65000000000953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43941</v>
      </c>
      <c r="B60" s="4">
        <v>837603</v>
      </c>
      <c r="C60" s="4" t="s">
        <v>54</v>
      </c>
      <c r="D60" s="77">
        <v>10075.57</v>
      </c>
      <c r="E60" s="5"/>
      <c r="F60" s="6">
        <f t="shared" si="0"/>
        <v>-10590.220000000008</v>
      </c>
      <c r="G60" s="9" t="s">
        <v>29</v>
      </c>
      <c r="H60" s="7" t="s">
        <v>116</v>
      </c>
      <c r="I60" s="4">
        <v>24</v>
      </c>
      <c r="J60" s="19">
        <v>1</v>
      </c>
      <c r="K60" s="16"/>
    </row>
    <row r="61" spans="1:11">
      <c r="A61" s="15">
        <v>43941</v>
      </c>
      <c r="B61" s="4">
        <v>435418</v>
      </c>
      <c r="C61" s="4" t="s">
        <v>53</v>
      </c>
      <c r="D61" s="77">
        <v>972.57</v>
      </c>
      <c r="E61" s="5"/>
      <c r="F61" s="6">
        <f t="shared" si="0"/>
        <v>-11562.790000000008</v>
      </c>
      <c r="G61" s="9" t="s">
        <v>273</v>
      </c>
      <c r="H61" s="7" t="s">
        <v>257</v>
      </c>
      <c r="I61" s="4">
        <v>52</v>
      </c>
      <c r="J61" s="19">
        <v>1</v>
      </c>
      <c r="K61" s="16"/>
    </row>
    <row r="62" spans="1:11">
      <c r="A62" s="15">
        <v>43941</v>
      </c>
      <c r="B62" s="4">
        <v>435271</v>
      </c>
      <c r="C62" s="4" t="s">
        <v>53</v>
      </c>
      <c r="D62" s="77">
        <v>3126.59</v>
      </c>
      <c r="E62" s="5"/>
      <c r="F62" s="6">
        <f t="shared" si="0"/>
        <v>-14689.380000000008</v>
      </c>
      <c r="G62" s="9" t="s">
        <v>43</v>
      </c>
      <c r="H62" s="7" t="s">
        <v>134</v>
      </c>
      <c r="I62" s="4">
        <v>53</v>
      </c>
      <c r="J62" s="19">
        <v>1</v>
      </c>
      <c r="K62" s="16"/>
    </row>
    <row r="63" spans="1:11">
      <c r="A63" s="15">
        <v>43941</v>
      </c>
      <c r="B63" s="4">
        <v>435123</v>
      </c>
      <c r="C63" s="4" t="s">
        <v>53</v>
      </c>
      <c r="D63" s="77">
        <v>997.56000000000006</v>
      </c>
      <c r="E63" s="5"/>
      <c r="F63" s="6">
        <f t="shared" si="0"/>
        <v>-15686.940000000008</v>
      </c>
      <c r="G63" s="9" t="s">
        <v>282</v>
      </c>
      <c r="H63" s="7" t="s">
        <v>256</v>
      </c>
      <c r="I63" s="4">
        <v>17</v>
      </c>
      <c r="J63" s="19">
        <v>1</v>
      </c>
      <c r="K63" s="16"/>
    </row>
    <row r="64" spans="1:11">
      <c r="A64" s="15">
        <v>43941</v>
      </c>
      <c r="B64" s="4">
        <v>434988</v>
      </c>
      <c r="C64" s="4" t="s">
        <v>53</v>
      </c>
      <c r="D64" s="77">
        <v>3257.44</v>
      </c>
      <c r="E64" s="5"/>
      <c r="F64" s="6">
        <f t="shared" si="0"/>
        <v>-18944.380000000008</v>
      </c>
      <c r="G64" s="9" t="s">
        <v>282</v>
      </c>
      <c r="H64" s="7" t="s">
        <v>256</v>
      </c>
      <c r="I64" s="4">
        <v>14</v>
      </c>
      <c r="J64" s="19">
        <v>1</v>
      </c>
      <c r="K64" s="16"/>
    </row>
    <row r="65" spans="1:11">
      <c r="A65" s="15">
        <v>43941</v>
      </c>
      <c r="B65" s="4">
        <v>300419</v>
      </c>
      <c r="C65" s="4" t="s">
        <v>57</v>
      </c>
      <c r="D65" s="77">
        <v>3530.31</v>
      </c>
      <c r="E65" s="5"/>
      <c r="F65" s="6">
        <f t="shared" si="0"/>
        <v>-22474.69000000001</v>
      </c>
      <c r="G65" s="9" t="s">
        <v>271</v>
      </c>
      <c r="H65" s="7" t="s">
        <v>85</v>
      </c>
      <c r="I65" s="4"/>
      <c r="J65" s="19"/>
      <c r="K65" s="16"/>
    </row>
    <row r="66" spans="1:11">
      <c r="A66" s="15">
        <v>43941</v>
      </c>
      <c r="B66" s="4">
        <v>727220</v>
      </c>
      <c r="C66" s="4" t="s">
        <v>60</v>
      </c>
      <c r="D66" s="77"/>
      <c r="E66" s="77">
        <v>24689.48</v>
      </c>
      <c r="F66" s="6">
        <f t="shared" si="0"/>
        <v>2214.78999999999</v>
      </c>
      <c r="G66" s="9" t="s">
        <v>145</v>
      </c>
      <c r="H66" s="7"/>
      <c r="I66" s="4"/>
      <c r="J66" s="19"/>
      <c r="K66" s="16"/>
    </row>
    <row r="67" spans="1:11">
      <c r="A67" s="15">
        <v>43941</v>
      </c>
      <c r="B67" s="4">
        <v>300416</v>
      </c>
      <c r="C67" s="4" t="s">
        <v>57</v>
      </c>
      <c r="D67" s="77">
        <v>2214.79</v>
      </c>
      <c r="E67" s="5"/>
      <c r="F67" s="6">
        <f t="shared" si="0"/>
        <v>-1.0004441719502211E-11</v>
      </c>
      <c r="G67" s="9" t="s">
        <v>271</v>
      </c>
      <c r="H67" s="7" t="s">
        <v>114</v>
      </c>
      <c r="I67" s="4"/>
      <c r="J67" s="19"/>
      <c r="K67" s="16"/>
    </row>
    <row r="68" spans="1:11">
      <c r="A68" s="15">
        <v>43945</v>
      </c>
      <c r="B68" s="4">
        <v>300402</v>
      </c>
      <c r="C68" s="4" t="s">
        <v>57</v>
      </c>
      <c r="D68" s="77">
        <v>58.7</v>
      </c>
      <c r="E68" s="5"/>
      <c r="F68" s="6">
        <f t="shared" si="0"/>
        <v>-58.700000000010007</v>
      </c>
      <c r="G68" s="9" t="s">
        <v>274</v>
      </c>
      <c r="H68" s="7" t="s">
        <v>340</v>
      </c>
      <c r="I68" s="4">
        <v>39</v>
      </c>
      <c r="J68" s="19">
        <v>1</v>
      </c>
      <c r="K68" s="16">
        <v>43902</v>
      </c>
    </row>
    <row r="69" spans="1:11">
      <c r="A69" s="15">
        <v>43945</v>
      </c>
      <c r="B69" s="4">
        <v>300418</v>
      </c>
      <c r="C69" s="4" t="s">
        <v>57</v>
      </c>
      <c r="D69" s="77">
        <v>910.65</v>
      </c>
      <c r="E69" s="5"/>
      <c r="F69" s="6">
        <f t="shared" si="0"/>
        <v>-969.35000000001003</v>
      </c>
      <c r="G69" s="9" t="s">
        <v>271</v>
      </c>
      <c r="H69" s="7" t="s">
        <v>98</v>
      </c>
      <c r="I69" s="4"/>
      <c r="J69" s="19"/>
      <c r="K69" s="16"/>
    </row>
    <row r="70" spans="1:11">
      <c r="A70" s="15">
        <v>43945</v>
      </c>
      <c r="B70" s="4">
        <v>300417</v>
      </c>
      <c r="C70" s="4" t="s">
        <v>57</v>
      </c>
      <c r="D70" s="77">
        <v>1302.48</v>
      </c>
      <c r="E70" s="5"/>
      <c r="F70" s="6">
        <f t="shared" si="0"/>
        <v>-2271.8300000000099</v>
      </c>
      <c r="G70" s="9" t="s">
        <v>271</v>
      </c>
      <c r="H70" s="7" t="s">
        <v>117</v>
      </c>
      <c r="I70" s="4"/>
      <c r="J70" s="19"/>
      <c r="K70" s="16"/>
    </row>
    <row r="71" spans="1:11">
      <c r="A71" s="15">
        <v>43945</v>
      </c>
      <c r="B71" s="4">
        <v>727220</v>
      </c>
      <c r="C71" s="4" t="s">
        <v>60</v>
      </c>
      <c r="D71" s="77"/>
      <c r="E71" s="77">
        <v>2271.83</v>
      </c>
      <c r="F71" s="6">
        <f t="shared" si="0"/>
        <v>-1.0004441719502211E-11</v>
      </c>
      <c r="G71" s="9" t="s">
        <v>145</v>
      </c>
      <c r="H71" s="7"/>
      <c r="I71" s="4"/>
      <c r="J71" s="19"/>
      <c r="K71" s="16"/>
    </row>
    <row r="72" spans="1:11">
      <c r="A72" s="15">
        <v>43949</v>
      </c>
      <c r="B72" s="4">
        <v>727220</v>
      </c>
      <c r="C72" s="4" t="s">
        <v>60</v>
      </c>
      <c r="D72" s="77"/>
      <c r="E72" s="77">
        <v>22534.93</v>
      </c>
      <c r="F72" s="6">
        <f t="shared" si="0"/>
        <v>22534.929999999989</v>
      </c>
      <c r="G72" s="9" t="s">
        <v>145</v>
      </c>
      <c r="H72" s="7"/>
      <c r="I72" s="4"/>
      <c r="J72" s="19"/>
      <c r="K72" s="16"/>
    </row>
    <row r="73" spans="1:11">
      <c r="A73" s="15">
        <v>43949</v>
      </c>
      <c r="B73" s="4">
        <v>281001</v>
      </c>
      <c r="C73" s="4" t="s">
        <v>47</v>
      </c>
      <c r="D73" s="77">
        <v>22534.93</v>
      </c>
      <c r="E73" s="5"/>
      <c r="F73" s="6">
        <f t="shared" si="0"/>
        <v>-1.0913936421275139E-11</v>
      </c>
      <c r="G73" s="9" t="s">
        <v>176</v>
      </c>
      <c r="H73" s="7"/>
      <c r="I73" s="4"/>
      <c r="J73" s="19"/>
      <c r="K73" s="16"/>
    </row>
    <row r="74" spans="1:11">
      <c r="A74" s="15">
        <v>43951</v>
      </c>
      <c r="B74" s="4">
        <v>727220</v>
      </c>
      <c r="C74" s="4" t="s">
        <v>60</v>
      </c>
      <c r="D74" s="77"/>
      <c r="E74" s="77">
        <v>8034.8600000000006</v>
      </c>
      <c r="F74" s="6">
        <f t="shared" ref="F74:F76" si="1">F73-D74+E74</f>
        <v>8034.8599999999897</v>
      </c>
      <c r="G74" s="9" t="s">
        <v>145</v>
      </c>
      <c r="H74" s="7"/>
      <c r="I74" s="4"/>
      <c r="J74" s="19"/>
      <c r="K74" s="16"/>
    </row>
    <row r="75" spans="1:11">
      <c r="A75" s="15">
        <v>43951</v>
      </c>
      <c r="B75" s="4">
        <v>301412</v>
      </c>
      <c r="C75" s="4" t="s">
        <v>47</v>
      </c>
      <c r="D75" s="77">
        <v>8833.58</v>
      </c>
      <c r="E75" s="5"/>
      <c r="F75" s="6">
        <f t="shared" si="1"/>
        <v>-798.72000000001026</v>
      </c>
      <c r="G75" s="9" t="s">
        <v>151</v>
      </c>
      <c r="H75" s="7"/>
      <c r="I75" s="4"/>
      <c r="J75" s="19"/>
      <c r="K75" s="16"/>
    </row>
    <row r="76" spans="1:11">
      <c r="A76" s="15">
        <v>43951</v>
      </c>
      <c r="B76" s="4">
        <v>301410</v>
      </c>
      <c r="C76" s="4" t="s">
        <v>44</v>
      </c>
      <c r="D76" s="77"/>
      <c r="E76" s="77">
        <v>798.72</v>
      </c>
      <c r="F76" s="6">
        <f t="shared" si="1"/>
        <v>-1.0231815394945443E-11</v>
      </c>
      <c r="G76" s="9" t="s">
        <v>234</v>
      </c>
      <c r="H76" s="7"/>
      <c r="I76" s="4"/>
      <c r="J76" s="19"/>
      <c r="K76" s="16"/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24" t="s">
        <v>12</v>
      </c>
      <c r="B78" s="325"/>
      <c r="C78" s="21"/>
      <c r="D78" s="78">
        <f>SUM(D10:D77)</f>
        <v>498997.94000000012</v>
      </c>
      <c r="E78" s="40">
        <f>SUM(E10:E77)</f>
        <v>498997.93999999994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3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3" ht="46.5" customHeight="1">
      <c r="A83" s="299" t="s">
        <v>123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</row>
    <row r="84" spans="1:13" ht="18" customHeight="1"/>
    <row r="85" spans="1:13" ht="18" customHeight="1">
      <c r="A85" s="318" t="s">
        <v>387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</row>
    <row r="86" spans="1:13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3">
      <c r="A87" s="319" t="s">
        <v>21</v>
      </c>
      <c r="B87" s="320"/>
      <c r="C87" s="320"/>
      <c r="D87" s="320"/>
      <c r="E87" s="321"/>
      <c r="F87" s="3"/>
      <c r="G87" s="322" t="s">
        <v>20</v>
      </c>
      <c r="H87" s="322"/>
      <c r="I87" s="322"/>
      <c r="J87" s="322"/>
      <c r="K87" s="24"/>
    </row>
    <row r="88" spans="1:13">
      <c r="A88" s="28" t="s">
        <v>233</v>
      </c>
      <c r="B88" s="44"/>
      <c r="C88" s="44"/>
      <c r="D88" s="79"/>
      <c r="E88" s="33">
        <f t="shared" ref="E88:E124" si="2">SUMIF($G$8:$G$77,A88,$D$8:$D$77)</f>
        <v>0</v>
      </c>
      <c r="F88" s="3"/>
      <c r="G88" s="62" t="s">
        <v>147</v>
      </c>
      <c r="H88" s="26"/>
      <c r="I88" s="306">
        <f>SUMIF($G$8:$G$77,G88,$E$8:$E$77)</f>
        <v>293392.95</v>
      </c>
      <c r="J88" s="307"/>
      <c r="K88" s="24"/>
    </row>
    <row r="89" spans="1:13">
      <c r="A89" s="27" t="s">
        <v>149</v>
      </c>
      <c r="B89" s="63"/>
      <c r="C89" s="63"/>
      <c r="D89" s="80"/>
      <c r="E89" s="29">
        <f t="shared" si="2"/>
        <v>195380.57</v>
      </c>
      <c r="F89" s="3"/>
      <c r="G89" s="316" t="s">
        <v>145</v>
      </c>
      <c r="H89" s="317"/>
      <c r="I89" s="306">
        <f>SUMIF($G$8:$G$77,G89,$E$8:$E$77)</f>
        <v>204806.26999999996</v>
      </c>
      <c r="J89" s="307"/>
      <c r="K89" s="24"/>
    </row>
    <row r="90" spans="1:13">
      <c r="A90" s="62" t="s">
        <v>368</v>
      </c>
      <c r="B90" s="63"/>
      <c r="C90" s="63"/>
      <c r="D90" s="80"/>
      <c r="E90" s="29">
        <f t="shared" si="2"/>
        <v>0</v>
      </c>
      <c r="F90" s="3"/>
      <c r="G90" s="316" t="s">
        <v>368</v>
      </c>
      <c r="H90" s="317"/>
      <c r="I90" s="306">
        <f>SUMIF($G$8:$G$77,G90,$E$8:$E$77)</f>
        <v>0</v>
      </c>
      <c r="J90" s="307"/>
      <c r="K90" s="24"/>
      <c r="M90" s="209" t="s">
        <v>344</v>
      </c>
    </row>
    <row r="91" spans="1:13">
      <c r="A91" s="27" t="s">
        <v>174</v>
      </c>
      <c r="B91" s="63"/>
      <c r="C91" s="63"/>
      <c r="D91" s="80"/>
      <c r="E91" s="29">
        <f t="shared" si="2"/>
        <v>0</v>
      </c>
      <c r="F91" s="3"/>
      <c r="G91" s="316" t="s">
        <v>234</v>
      </c>
      <c r="H91" s="317"/>
      <c r="I91" s="306">
        <f>SUMIF($G$8:$G$77,G91,$E$8:$E$77)</f>
        <v>798.72</v>
      </c>
      <c r="J91" s="307"/>
      <c r="K91" s="24"/>
    </row>
    <row r="92" spans="1:13">
      <c r="A92" s="27" t="s">
        <v>177</v>
      </c>
      <c r="B92" s="63"/>
      <c r="C92" s="63"/>
      <c r="D92" s="80"/>
      <c r="E92" s="29">
        <f t="shared" si="2"/>
        <v>0</v>
      </c>
      <c r="F92" s="3"/>
      <c r="G92" s="62"/>
      <c r="H92" s="26"/>
      <c r="I92" s="306">
        <f>SUMIF($G$8:$G$77,G92,$E$8:$E$77)</f>
        <v>0</v>
      </c>
      <c r="J92" s="307"/>
      <c r="K92" s="24"/>
    </row>
    <row r="93" spans="1:13">
      <c r="A93" s="27" t="s">
        <v>255</v>
      </c>
      <c r="B93" s="63"/>
      <c r="C93" s="63"/>
      <c r="D93" s="80"/>
      <c r="E93" s="29">
        <f t="shared" si="2"/>
        <v>0</v>
      </c>
      <c r="F93" s="3"/>
      <c r="G93" s="47" t="s">
        <v>22</v>
      </c>
      <c r="H93" s="48"/>
      <c r="I93" s="302">
        <f>SUM(I88:J92)</f>
        <v>498997.93999999994</v>
      </c>
      <c r="J93" s="303"/>
      <c r="K93" s="61">
        <f>E78-I93</f>
        <v>0</v>
      </c>
    </row>
    <row r="94" spans="1:13">
      <c r="A94" s="27" t="s">
        <v>175</v>
      </c>
      <c r="B94" s="63"/>
      <c r="C94" s="63"/>
      <c r="D94" s="80"/>
      <c r="E94" s="29">
        <f t="shared" si="2"/>
        <v>11873.06</v>
      </c>
      <c r="F94" s="3"/>
      <c r="G94" s="70"/>
      <c r="H94" s="45"/>
      <c r="I94" s="69"/>
      <c r="J94" s="71"/>
      <c r="K94" s="24"/>
    </row>
    <row r="95" spans="1:13">
      <c r="A95" s="27" t="s">
        <v>271</v>
      </c>
      <c r="B95" s="63"/>
      <c r="C95" s="63"/>
      <c r="D95" s="80"/>
      <c r="E95" s="29">
        <f t="shared" si="2"/>
        <v>35995.050000000003</v>
      </c>
      <c r="F95" s="3"/>
      <c r="G95" s="36" t="s">
        <v>64</v>
      </c>
      <c r="H95" s="37"/>
      <c r="I95" s="66"/>
      <c r="J95" s="67"/>
    </row>
    <row r="96" spans="1:13">
      <c r="A96" s="27" t="s">
        <v>25</v>
      </c>
      <c r="B96" s="63"/>
      <c r="C96" s="63"/>
      <c r="D96" s="80"/>
      <c r="E96" s="29">
        <f t="shared" si="2"/>
        <v>0</v>
      </c>
      <c r="F96" s="3"/>
      <c r="G96" s="245" t="s">
        <v>19</v>
      </c>
      <c r="H96" s="246"/>
      <c r="I96" s="306">
        <f>'CEF Março 2020'!I86:J86</f>
        <v>355584.45999999985</v>
      </c>
      <c r="J96" s="307"/>
    </row>
    <row r="97" spans="1:11">
      <c r="A97" s="27" t="s">
        <v>270</v>
      </c>
      <c r="B97" s="63"/>
      <c r="C97" s="63"/>
      <c r="D97" s="80"/>
      <c r="E97" s="29">
        <f t="shared" si="2"/>
        <v>90796.479999999996</v>
      </c>
      <c r="F97" s="3"/>
      <c r="G97" s="27" t="s">
        <v>149</v>
      </c>
      <c r="H97" s="246"/>
      <c r="I97" s="306">
        <f>SUMIF($G$8:$G$77,G97,$D$8:$D$77)</f>
        <v>195380.57</v>
      </c>
      <c r="J97" s="307"/>
    </row>
    <row r="98" spans="1:11">
      <c r="A98" s="27" t="s">
        <v>219</v>
      </c>
      <c r="B98" s="63"/>
      <c r="C98" s="63"/>
      <c r="D98" s="80"/>
      <c r="E98" s="29">
        <f t="shared" si="2"/>
        <v>0</v>
      </c>
      <c r="F98" s="3"/>
      <c r="G98" s="316" t="s">
        <v>145</v>
      </c>
      <c r="H98" s="317"/>
      <c r="I98" s="306">
        <f>-SUMIF($G$8:$G$77,G98,$E$8:$E$77)</f>
        <v>-204806.26999999996</v>
      </c>
      <c r="J98" s="307"/>
    </row>
    <row r="99" spans="1:11">
      <c r="A99" s="27" t="s">
        <v>29</v>
      </c>
      <c r="B99" s="63"/>
      <c r="C99" s="63"/>
      <c r="D99" s="80"/>
      <c r="E99" s="29">
        <f t="shared" si="2"/>
        <v>10075.57</v>
      </c>
      <c r="F99" s="3"/>
      <c r="G99" s="245" t="s">
        <v>30</v>
      </c>
      <c r="H99" s="246"/>
      <c r="I99" s="306">
        <v>932.44</v>
      </c>
      <c r="J99" s="307"/>
    </row>
    <row r="100" spans="1:11">
      <c r="A100" s="27" t="s">
        <v>282</v>
      </c>
      <c r="B100" s="63"/>
      <c r="C100" s="63"/>
      <c r="D100" s="80"/>
      <c r="E100" s="29">
        <f t="shared" si="2"/>
        <v>4255</v>
      </c>
      <c r="F100" s="3"/>
      <c r="G100" s="30"/>
      <c r="H100" s="31"/>
      <c r="I100" s="314"/>
      <c r="J100" s="315"/>
    </row>
    <row r="101" spans="1:11">
      <c r="A101" s="27" t="s">
        <v>273</v>
      </c>
      <c r="B101" s="63"/>
      <c r="C101" s="63"/>
      <c r="D101" s="80"/>
      <c r="E101" s="29">
        <f t="shared" si="2"/>
        <v>972.57</v>
      </c>
      <c r="F101" s="3"/>
      <c r="G101" s="32" t="s">
        <v>18</v>
      </c>
      <c r="H101" s="31"/>
      <c r="I101" s="310">
        <f>SUM(I96:J99)</f>
        <v>347091.19999999984</v>
      </c>
      <c r="J101" s="311"/>
    </row>
    <row r="102" spans="1:11">
      <c r="A102" s="27" t="s">
        <v>218</v>
      </c>
      <c r="B102" s="63"/>
      <c r="C102" s="63"/>
      <c r="D102" s="80"/>
      <c r="E102" s="29">
        <f t="shared" si="2"/>
        <v>1721.48</v>
      </c>
      <c r="F102" s="3"/>
      <c r="G102" s="49"/>
      <c r="H102" s="41"/>
      <c r="I102" s="41"/>
      <c r="J102" s="247"/>
      <c r="K102" s="24"/>
    </row>
    <row r="103" spans="1:11">
      <c r="A103" s="27" t="s">
        <v>379</v>
      </c>
      <c r="B103" s="63"/>
      <c r="C103" s="63"/>
      <c r="D103" s="80"/>
      <c r="E103" s="29">
        <f t="shared" si="2"/>
        <v>73.05</v>
      </c>
      <c r="F103" s="3"/>
      <c r="G103" s="53" t="s">
        <v>62</v>
      </c>
      <c r="H103" s="54"/>
      <c r="I103" s="312"/>
      <c r="J103" s="313"/>
      <c r="K103" s="24"/>
    </row>
    <row r="104" spans="1:11">
      <c r="A104" s="27" t="s">
        <v>231</v>
      </c>
      <c r="B104" s="63"/>
      <c r="C104" s="63"/>
      <c r="D104" s="80"/>
      <c r="E104" s="29">
        <f t="shared" si="2"/>
        <v>1007.9</v>
      </c>
      <c r="F104" s="3"/>
      <c r="G104" s="57" t="s">
        <v>19</v>
      </c>
      <c r="H104" s="58"/>
      <c r="I104" s="304">
        <f>'CEF Março 2019'!I88:J88</f>
        <v>0</v>
      </c>
      <c r="J104" s="305"/>
      <c r="K104" s="24"/>
    </row>
    <row r="105" spans="1:11">
      <c r="A105" s="27" t="s">
        <v>28</v>
      </c>
      <c r="B105" s="63"/>
      <c r="C105" s="63"/>
      <c r="D105" s="80"/>
      <c r="E105" s="29">
        <f t="shared" si="2"/>
        <v>26.400000000000002</v>
      </c>
      <c r="F105" s="3"/>
      <c r="G105" s="27" t="s">
        <v>48</v>
      </c>
      <c r="H105" s="246"/>
      <c r="I105" s="306">
        <f>SUMIF($G$8:$G$77,G105,$E$8:$E$77)</f>
        <v>0</v>
      </c>
      <c r="J105" s="307"/>
      <c r="K105" s="24"/>
    </row>
    <row r="106" spans="1:11">
      <c r="A106" s="27" t="s">
        <v>150</v>
      </c>
      <c r="B106" s="63"/>
      <c r="C106" s="63"/>
      <c r="D106" s="80"/>
      <c r="E106" s="29">
        <f t="shared" si="2"/>
        <v>441.6</v>
      </c>
      <c r="F106" s="3"/>
      <c r="G106" s="245" t="s">
        <v>14</v>
      </c>
      <c r="H106" s="246"/>
      <c r="I106" s="306">
        <f>-SUMIF($G$8:$G$77,G106,$D$8:$D$77)</f>
        <v>0</v>
      </c>
      <c r="J106" s="307"/>
      <c r="K106" s="24"/>
    </row>
    <row r="107" spans="1:11">
      <c r="A107" s="27" t="s">
        <v>220</v>
      </c>
      <c r="B107" s="63"/>
      <c r="C107" s="63"/>
      <c r="D107" s="80"/>
      <c r="E107" s="29">
        <f t="shared" si="2"/>
        <v>0</v>
      </c>
      <c r="F107" s="3"/>
      <c r="G107" s="30"/>
      <c r="H107" s="31"/>
      <c r="I107" s="314"/>
      <c r="J107" s="315"/>
      <c r="K107" s="24"/>
    </row>
    <row r="108" spans="1:11">
      <c r="A108" s="27" t="s">
        <v>151</v>
      </c>
      <c r="B108" s="41"/>
      <c r="C108" s="41"/>
      <c r="D108" s="80"/>
      <c r="E108" s="29">
        <f t="shared" si="2"/>
        <v>8833.58</v>
      </c>
      <c r="F108" s="3"/>
      <c r="G108" s="32" t="s">
        <v>17</v>
      </c>
      <c r="H108" s="31"/>
      <c r="I108" s="302">
        <f>SUM(I104:J107)</f>
        <v>0</v>
      </c>
      <c r="J108" s="303"/>
      <c r="K108" s="24"/>
    </row>
    <row r="109" spans="1:11">
      <c r="A109" s="27" t="s">
        <v>49</v>
      </c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247"/>
      <c r="K109" s="24"/>
    </row>
    <row r="110" spans="1:11">
      <c r="A110" s="27" t="s">
        <v>176</v>
      </c>
      <c r="B110" s="63"/>
      <c r="C110" s="63"/>
      <c r="D110" s="80"/>
      <c r="E110" s="29">
        <f t="shared" si="2"/>
        <v>22534.93</v>
      </c>
      <c r="F110" s="3"/>
      <c r="G110" s="36" t="s">
        <v>16</v>
      </c>
      <c r="H110" s="37"/>
      <c r="I110" s="66"/>
      <c r="J110" s="67"/>
      <c r="K110" s="24"/>
    </row>
    <row r="111" spans="1:11">
      <c r="A111" s="27" t="s">
        <v>272</v>
      </c>
      <c r="B111" s="63"/>
      <c r="C111" s="63"/>
      <c r="D111" s="80"/>
      <c r="E111" s="29">
        <f t="shared" si="2"/>
        <v>495.84000000000003</v>
      </c>
      <c r="F111" s="3"/>
      <c r="G111" s="245" t="s">
        <v>19</v>
      </c>
      <c r="H111" s="246"/>
      <c r="I111" s="308">
        <f>'CEF Março 2020'!I100:J100</f>
        <v>62677.369999999355</v>
      </c>
      <c r="J111" s="309"/>
      <c r="K111" s="24"/>
    </row>
    <row r="112" spans="1:11">
      <c r="A112" s="27" t="s">
        <v>43</v>
      </c>
      <c r="B112" s="63"/>
      <c r="C112" s="63"/>
      <c r="D112" s="80"/>
      <c r="E112" s="29">
        <f t="shared" si="2"/>
        <v>3126.59</v>
      </c>
      <c r="F112" s="3"/>
      <c r="G112" s="245" t="s">
        <v>382</v>
      </c>
      <c r="H112" s="246"/>
      <c r="I112" s="291">
        <f>249997.75+16000+16408.72+10986.48</f>
        <v>293392.94999999995</v>
      </c>
      <c r="J112" s="292"/>
      <c r="K112" s="24"/>
    </row>
    <row r="113" spans="1:13">
      <c r="A113" s="27" t="s">
        <v>274</v>
      </c>
      <c r="B113" s="63"/>
      <c r="C113" s="63"/>
      <c r="D113" s="80"/>
      <c r="E113" s="29">
        <f t="shared" si="2"/>
        <v>58.7</v>
      </c>
      <c r="F113" s="3"/>
      <c r="G113" s="245" t="s">
        <v>147</v>
      </c>
      <c r="H113" s="246"/>
      <c r="I113" s="306">
        <f>-SUMIF($G$8:$G$77,G113,$E$8:$E$77)</f>
        <v>-293392.95</v>
      </c>
      <c r="J113" s="307"/>
      <c r="K113" s="24"/>
    </row>
    <row r="114" spans="1:13">
      <c r="A114" s="27" t="s">
        <v>179</v>
      </c>
      <c r="B114" s="63"/>
      <c r="C114" s="63"/>
      <c r="D114" s="80"/>
      <c r="E114" s="29">
        <f t="shared" si="2"/>
        <v>1797.2</v>
      </c>
      <c r="F114" s="3"/>
      <c r="G114" s="30"/>
      <c r="H114" s="31"/>
      <c r="I114" s="300"/>
      <c r="J114" s="301"/>
      <c r="K114" s="24"/>
    </row>
    <row r="115" spans="1:13">
      <c r="A115" s="27" t="s">
        <v>146</v>
      </c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10">
        <f>SUM(I111:J114)</f>
        <v>62677.369999999297</v>
      </c>
      <c r="J115" s="311"/>
      <c r="K115" s="24"/>
      <c r="M115" s="39"/>
    </row>
    <row r="116" spans="1:13">
      <c r="A116" s="27" t="s">
        <v>34</v>
      </c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 t="s">
        <v>178</v>
      </c>
      <c r="B117" s="63"/>
      <c r="C117" s="63"/>
      <c r="D117" s="80"/>
      <c r="E117" s="29">
        <f t="shared" si="2"/>
        <v>109353.37</v>
      </c>
      <c r="F117" s="3"/>
      <c r="G117" s="53" t="s">
        <v>39</v>
      </c>
      <c r="H117" s="54"/>
      <c r="I117" s="54"/>
      <c r="J117" s="55"/>
      <c r="K117" s="24"/>
    </row>
    <row r="118" spans="1:13">
      <c r="A118" s="27" t="s">
        <v>72</v>
      </c>
      <c r="B118" s="63"/>
      <c r="C118" s="63"/>
      <c r="D118" s="80"/>
      <c r="E118" s="29">
        <f t="shared" si="2"/>
        <v>179</v>
      </c>
      <c r="F118" s="3"/>
      <c r="G118" s="28" t="s">
        <v>40</v>
      </c>
      <c r="H118" s="34"/>
      <c r="I118" s="304">
        <f>'CEF Março 2020'!I107:J107</f>
        <v>22534.930000000011</v>
      </c>
      <c r="J118" s="305"/>
      <c r="K118" s="24"/>
    </row>
    <row r="119" spans="1:13">
      <c r="A119" s="27" t="s">
        <v>307</v>
      </c>
      <c r="B119" s="63"/>
      <c r="C119" s="63"/>
      <c r="D119" s="80"/>
      <c r="E119" s="29">
        <f t="shared" si="2"/>
        <v>0</v>
      </c>
      <c r="F119" s="3"/>
      <c r="G119" s="27" t="s">
        <v>385</v>
      </c>
      <c r="H119" s="41"/>
      <c r="I119" s="306">
        <v>20931.689999999999</v>
      </c>
      <c r="J119" s="307"/>
      <c r="K119" s="24"/>
    </row>
    <row r="120" spans="1:13">
      <c r="A120" s="27" t="s">
        <v>120</v>
      </c>
      <c r="B120" s="63"/>
      <c r="C120" s="63"/>
      <c r="D120" s="80"/>
      <c r="E120" s="29">
        <f t="shared" si="2"/>
        <v>0</v>
      </c>
      <c r="F120" s="3"/>
      <c r="G120" s="27"/>
      <c r="H120" s="56"/>
      <c r="I120" s="306"/>
      <c r="J120" s="30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176</v>
      </c>
      <c r="H121" s="60"/>
      <c r="I121" s="300">
        <f>-SUMIF($G$8:$G$77,G121,$D$8:$D$77)</f>
        <v>-22534.93</v>
      </c>
      <c r="J121" s="301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02">
        <f>SUM(I118:J121)</f>
        <v>20931.69000000001</v>
      </c>
      <c r="J122" s="303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24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0" t="s">
        <v>41</v>
      </c>
      <c r="H124" s="51"/>
      <c r="I124" s="51"/>
      <c r="J124" s="52"/>
      <c r="K124" s="24"/>
    </row>
    <row r="125" spans="1:13">
      <c r="A125" s="30"/>
      <c r="B125" s="85"/>
      <c r="C125" s="85"/>
      <c r="D125" s="86"/>
      <c r="E125" s="87"/>
      <c r="F125" s="3"/>
      <c r="G125" s="27" t="s">
        <v>386</v>
      </c>
      <c r="H125" s="246"/>
      <c r="I125" s="291">
        <v>30995.89</v>
      </c>
      <c r="J125" s="292"/>
      <c r="K125" s="24"/>
    </row>
    <row r="126" spans="1:13">
      <c r="A126" s="297" t="s">
        <v>22</v>
      </c>
      <c r="B126" s="298"/>
      <c r="C126" s="298"/>
      <c r="D126" s="81"/>
      <c r="E126" s="35">
        <f>SUM(E88:E124)</f>
        <v>498997.94000000006</v>
      </c>
      <c r="F126" s="3"/>
      <c r="G126" s="27"/>
      <c r="H126" s="246"/>
      <c r="I126" s="291"/>
      <c r="J126" s="292"/>
      <c r="K126" s="24"/>
    </row>
    <row r="127" spans="1:13">
      <c r="E127" s="46">
        <f>D78-E126</f>
        <v>0</v>
      </c>
      <c r="F127" s="3"/>
      <c r="G127" s="27"/>
      <c r="H127" s="41"/>
      <c r="I127" s="295"/>
      <c r="J127" s="296"/>
      <c r="K127" s="24"/>
    </row>
    <row r="128" spans="1:13">
      <c r="F128" s="3"/>
      <c r="G128" s="89" t="s">
        <v>18</v>
      </c>
      <c r="H128" s="88"/>
      <c r="I128" s="302">
        <f>SUM(I125:J127)</f>
        <v>30995.89</v>
      </c>
      <c r="J128" s="303"/>
      <c r="K128" s="24"/>
    </row>
    <row r="129" spans="1:11">
      <c r="A129" s="27"/>
      <c r="B129" s="63"/>
      <c r="C129" s="63"/>
      <c r="D129" s="80"/>
      <c r="K129" s="24"/>
    </row>
    <row r="130" spans="1:11">
      <c r="A130" s="27"/>
      <c r="B130" s="63"/>
      <c r="C130" s="63"/>
      <c r="D130" s="80"/>
      <c r="G130" s="45"/>
      <c r="H130" s="45"/>
      <c r="I130" s="69"/>
      <c r="J130" s="69"/>
      <c r="K130" s="24"/>
    </row>
    <row r="131" spans="1:11">
      <c r="D131" s="209"/>
      <c r="F131" s="3"/>
      <c r="G131" s="45"/>
      <c r="H131" s="45"/>
      <c r="I131" s="69"/>
      <c r="J131" s="69"/>
      <c r="K131" s="24"/>
    </row>
    <row r="133" spans="1:11">
      <c r="E133" s="46"/>
    </row>
    <row r="134" spans="1:11">
      <c r="E134" s="46"/>
    </row>
    <row r="137" spans="1:11">
      <c r="E137" s="46"/>
    </row>
  </sheetData>
  <sortState ref="A88:E120">
    <sortCondition ref="A88"/>
  </sortState>
  <mergeCells count="46">
    <mergeCell ref="A126:C126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I125:J125"/>
    <mergeCell ref="I115:J115"/>
    <mergeCell ref="I101:J101"/>
    <mergeCell ref="I103:J103"/>
    <mergeCell ref="I104:J104"/>
    <mergeCell ref="I105:J105"/>
    <mergeCell ref="I106:J106"/>
    <mergeCell ref="I107:J107"/>
    <mergeCell ref="I108:J108"/>
    <mergeCell ref="I111:J111"/>
    <mergeCell ref="I112:J112"/>
    <mergeCell ref="I113:J113"/>
    <mergeCell ref="I114:J114"/>
    <mergeCell ref="I100:J100"/>
    <mergeCell ref="G90:H90"/>
    <mergeCell ref="I90:J90"/>
    <mergeCell ref="G91:H91"/>
    <mergeCell ref="I91:J91"/>
    <mergeCell ref="I92:J92"/>
    <mergeCell ref="I93:J93"/>
    <mergeCell ref="I96:J96"/>
    <mergeCell ref="I97:J97"/>
    <mergeCell ref="G98:H98"/>
    <mergeCell ref="I98:J98"/>
    <mergeCell ref="I99:J99"/>
    <mergeCell ref="A85:K85"/>
    <mergeCell ref="A87:E87"/>
    <mergeCell ref="G87:J87"/>
    <mergeCell ref="I88:J88"/>
    <mergeCell ref="G89:H89"/>
    <mergeCell ref="I89:J89"/>
    <mergeCell ref="A83:K83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7"/>
  <sheetViews>
    <sheetView topLeftCell="A46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f>'Rp 14 - 03 2020'!B73</f>
        <v>355584.46</v>
      </c>
      <c r="C2" s="41"/>
      <c r="D2" s="144"/>
      <c r="E2" s="41"/>
      <c r="F2" s="41"/>
    </row>
    <row r="3" spans="1:6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6" ht="15.75" thickBot="1">
      <c r="A4" s="177"/>
      <c r="B4" s="256">
        <v>932.44</v>
      </c>
      <c r="C4" s="41"/>
      <c r="D4" s="144"/>
      <c r="E4" s="41"/>
      <c r="F4" s="41"/>
    </row>
    <row r="5" spans="1:6" ht="15.75" thickBot="1">
      <c r="A5" s="177"/>
      <c r="B5" s="256">
        <v>798.72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650708.56999999995</v>
      </c>
      <c r="C7" s="165"/>
      <c r="D7" s="144"/>
      <c r="E7" s="185"/>
      <c r="F7" s="41"/>
    </row>
    <row r="8" spans="1:6" ht="15.75" thickBot="1"/>
    <row r="9" spans="1:6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</row>
    <row r="10" spans="1:6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6" ht="24.95" customHeight="1" thickBot="1">
      <c r="A11" s="118" t="s">
        <v>211</v>
      </c>
      <c r="B11" s="257">
        <v>134619.54999999999</v>
      </c>
      <c r="C11" s="258">
        <f>11873.06+35995.05+90796.48+10075.57+4255+73.05+1007.9+26.4+441.6+8833.58+495.84+58.7+1797.2</f>
        <v>165729.43</v>
      </c>
      <c r="D11" s="115"/>
      <c r="E11" s="260">
        <f t="shared" ref="E11:E27" si="0">C11+D11</f>
        <v>165729.43</v>
      </c>
      <c r="F11" s="261">
        <f>11327.62+58.2+70002.54+29358.51+327926.71+7516.94+1030.99+14215.83+649.01</f>
        <v>462086.35000000003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111360</f>
        <v>111360</v>
      </c>
      <c r="C17" s="258">
        <f>972.57+1721.48+109353.37+3126.59</f>
        <v>115174.01</v>
      </c>
      <c r="D17" s="115"/>
      <c r="E17" s="260">
        <f t="shared" si="0"/>
        <v>115174.01</v>
      </c>
      <c r="F17" s="261">
        <f>111300+2877.12+1894.68</f>
        <v>116071.79999999999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179</v>
      </c>
      <c r="C25" s="259"/>
      <c r="D25" s="258">
        <v>179</v>
      </c>
      <c r="E25" s="260">
        <f t="shared" si="0"/>
        <v>179</v>
      </c>
      <c r="F25" s="115"/>
    </row>
    <row r="26" spans="1:10" ht="24.95" customHeight="1" thickBot="1">
      <c r="A26" s="114" t="s">
        <v>196</v>
      </c>
      <c r="B26" s="259">
        <v>20931.689999999999</v>
      </c>
      <c r="C26" s="259">
        <v>22534.93</v>
      </c>
      <c r="D26" s="111"/>
      <c r="E26" s="260">
        <f>C26+D26</f>
        <v>22534.93</v>
      </c>
      <c r="F26" s="262">
        <v>20931.689999999999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267090.24</v>
      </c>
      <c r="C28" s="152">
        <f>SUM(C11:C27)</f>
        <v>303438.37</v>
      </c>
      <c r="D28" s="152">
        <f>SUM(D11:D27)</f>
        <v>179</v>
      </c>
      <c r="E28" s="152">
        <f>SUM(E11:E27)</f>
        <v>303617.37</v>
      </c>
      <c r="F28" s="152">
        <f>SUM(F11:F27)</f>
        <v>599089.84</v>
      </c>
      <c r="H28" s="244">
        <f>3769626.56-3170536.72</f>
        <v>599089.83999999985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195380.57</v>
      </c>
    </row>
    <row r="33" spans="1:4">
      <c r="A33" s="222" t="s">
        <v>368</v>
      </c>
      <c r="B33" s="266"/>
      <c r="C33" s="266"/>
      <c r="D33" s="182">
        <v>0</v>
      </c>
    </row>
    <row r="34" spans="1:4">
      <c r="A34" s="4" t="s">
        <v>174</v>
      </c>
      <c r="B34" s="266"/>
      <c r="C34" s="266"/>
      <c r="D34" s="182">
        <v>0</v>
      </c>
    </row>
    <row r="35" spans="1:4">
      <c r="A35" s="4" t="s">
        <v>177</v>
      </c>
      <c r="B35" s="266"/>
      <c r="C35" s="266"/>
      <c r="D35" s="182">
        <v>0</v>
      </c>
    </row>
    <row r="36" spans="1:4">
      <c r="A36" s="4" t="s">
        <v>255</v>
      </c>
      <c r="B36" s="266"/>
      <c r="C36" s="266"/>
      <c r="D36" s="182">
        <v>0</v>
      </c>
    </row>
    <row r="37" spans="1:4">
      <c r="A37" s="4" t="s">
        <v>175</v>
      </c>
      <c r="B37" s="266"/>
      <c r="C37" s="266"/>
      <c r="D37" s="182">
        <v>11873.06</v>
      </c>
    </row>
    <row r="38" spans="1:4">
      <c r="A38" s="4" t="s">
        <v>271</v>
      </c>
      <c r="B38" s="266"/>
      <c r="C38" s="266"/>
      <c r="D38" s="182">
        <v>35995.050000000003</v>
      </c>
    </row>
    <row r="39" spans="1:4">
      <c r="A39" s="4" t="s">
        <v>25</v>
      </c>
      <c r="B39" s="266"/>
      <c r="C39" s="266"/>
      <c r="D39" s="182">
        <v>0</v>
      </c>
    </row>
    <row r="40" spans="1:4">
      <c r="A40" s="4" t="s">
        <v>270</v>
      </c>
      <c r="B40" s="266"/>
      <c r="C40" s="266"/>
      <c r="D40" s="182">
        <v>90796.479999999996</v>
      </c>
    </row>
    <row r="41" spans="1:4">
      <c r="A41" s="4" t="s">
        <v>219</v>
      </c>
      <c r="B41" s="266"/>
      <c r="C41" s="266"/>
      <c r="D41" s="182">
        <v>0</v>
      </c>
    </row>
    <row r="42" spans="1:4">
      <c r="A42" s="4" t="s">
        <v>29</v>
      </c>
      <c r="B42" s="266"/>
      <c r="C42" s="266"/>
      <c r="D42" s="182">
        <v>10075.57</v>
      </c>
    </row>
    <row r="43" spans="1:4">
      <c r="A43" s="4" t="s">
        <v>282</v>
      </c>
      <c r="B43" s="266"/>
      <c r="C43" s="266"/>
      <c r="D43" s="182">
        <v>4255</v>
      </c>
    </row>
    <row r="44" spans="1:4">
      <c r="A44" s="4" t="s">
        <v>273</v>
      </c>
      <c r="B44" s="266"/>
      <c r="C44" s="266"/>
      <c r="D44" s="182">
        <v>972.57</v>
      </c>
    </row>
    <row r="45" spans="1:4">
      <c r="A45" s="4" t="s">
        <v>218</v>
      </c>
      <c r="B45" s="266"/>
      <c r="C45" s="266"/>
      <c r="D45" s="182">
        <v>1721.48</v>
      </c>
    </row>
    <row r="46" spans="1:4">
      <c r="A46" s="4" t="s">
        <v>379</v>
      </c>
      <c r="B46" s="266"/>
      <c r="C46" s="266"/>
      <c r="D46" s="182">
        <v>73.05</v>
      </c>
    </row>
    <row r="47" spans="1:4">
      <c r="A47" s="4" t="s">
        <v>231</v>
      </c>
      <c r="B47" s="266"/>
      <c r="C47" s="266"/>
      <c r="D47" s="182">
        <v>1007.9</v>
      </c>
    </row>
    <row r="48" spans="1:4">
      <c r="A48" s="4" t="s">
        <v>28</v>
      </c>
      <c r="B48" s="266"/>
      <c r="C48" s="266"/>
      <c r="D48" s="182">
        <v>26.400000000000002</v>
      </c>
    </row>
    <row r="49" spans="1:4">
      <c r="A49" s="4" t="s">
        <v>150</v>
      </c>
      <c r="B49" s="266"/>
      <c r="C49" s="266"/>
      <c r="D49" s="182">
        <v>441.6</v>
      </c>
    </row>
    <row r="50" spans="1:4">
      <c r="A50" s="4" t="s">
        <v>220</v>
      </c>
      <c r="B50" s="266"/>
      <c r="C50" s="266"/>
      <c r="D50" s="182">
        <v>0</v>
      </c>
    </row>
    <row r="51" spans="1:4">
      <c r="A51" s="4" t="s">
        <v>151</v>
      </c>
      <c r="B51" s="266"/>
      <c r="C51" s="266"/>
      <c r="D51" s="182">
        <v>8833.58</v>
      </c>
    </row>
    <row r="52" spans="1:4">
      <c r="A52" s="4" t="s">
        <v>49</v>
      </c>
      <c r="B52" s="266"/>
      <c r="C52" s="266"/>
      <c r="D52" s="182">
        <v>0</v>
      </c>
    </row>
    <row r="53" spans="1:4">
      <c r="A53" s="4" t="s">
        <v>176</v>
      </c>
      <c r="B53" s="266"/>
      <c r="C53" s="266"/>
      <c r="D53" s="182">
        <v>22534.93</v>
      </c>
    </row>
    <row r="54" spans="1:4">
      <c r="A54" s="4" t="s">
        <v>272</v>
      </c>
      <c r="B54" s="266"/>
      <c r="C54" s="266"/>
      <c r="D54" s="182">
        <v>495.84000000000003</v>
      </c>
    </row>
    <row r="55" spans="1:4">
      <c r="A55" s="4" t="s">
        <v>43</v>
      </c>
      <c r="B55" s="266"/>
      <c r="C55" s="266"/>
      <c r="D55" s="182">
        <v>3126.59</v>
      </c>
    </row>
    <row r="56" spans="1:4">
      <c r="A56" s="4" t="s">
        <v>274</v>
      </c>
      <c r="B56" s="266"/>
      <c r="C56" s="266"/>
      <c r="D56" s="182">
        <v>58.7</v>
      </c>
    </row>
    <row r="57" spans="1:4">
      <c r="A57" s="4" t="s">
        <v>179</v>
      </c>
      <c r="B57" s="266"/>
      <c r="C57" s="266"/>
      <c r="D57" s="182">
        <v>1797.2</v>
      </c>
    </row>
    <row r="58" spans="1:4">
      <c r="A58" s="4" t="s">
        <v>146</v>
      </c>
      <c r="B58" s="266"/>
      <c r="C58" s="266"/>
      <c r="D58" s="182">
        <v>0</v>
      </c>
    </row>
    <row r="59" spans="1:4">
      <c r="A59" s="4" t="s">
        <v>34</v>
      </c>
      <c r="B59" s="266"/>
      <c r="C59" s="266"/>
      <c r="D59" s="182">
        <v>0</v>
      </c>
    </row>
    <row r="60" spans="1:4">
      <c r="A60" s="4" t="s">
        <v>178</v>
      </c>
      <c r="B60" s="266"/>
      <c r="C60" s="266"/>
      <c r="D60" s="182">
        <v>109353.37</v>
      </c>
    </row>
    <row r="61" spans="1:4">
      <c r="A61" s="4" t="s">
        <v>72</v>
      </c>
      <c r="B61" s="266"/>
      <c r="C61" s="266"/>
      <c r="D61" s="182">
        <v>179</v>
      </c>
    </row>
    <row r="62" spans="1:4">
      <c r="A62" s="4" t="s">
        <v>307</v>
      </c>
      <c r="B62" s="266"/>
      <c r="C62" s="266"/>
      <c r="D62" s="182">
        <v>0</v>
      </c>
    </row>
    <row r="63" spans="1:4">
      <c r="A63" s="4" t="s">
        <v>120</v>
      </c>
      <c r="B63" s="266"/>
      <c r="C63" s="266"/>
      <c r="D63" s="182">
        <v>0</v>
      </c>
    </row>
    <row r="64" spans="1:4">
      <c r="A64" s="266"/>
      <c r="B64" s="266"/>
      <c r="C64" s="266"/>
      <c r="D64" s="182"/>
    </row>
    <row r="65" spans="1:5">
      <c r="A65" s="335" t="s">
        <v>194</v>
      </c>
      <c r="B65" s="336"/>
      <c r="C65" s="294"/>
      <c r="D65" s="267">
        <f>SUM(D31:D63)</f>
        <v>303617.37</v>
      </c>
    </row>
    <row r="67" spans="1:5" ht="15.75" thickBot="1">
      <c r="C67" s="92"/>
      <c r="D67" s="92"/>
      <c r="E67" s="248"/>
    </row>
    <row r="68" spans="1:5" ht="23.25" thickBot="1">
      <c r="A68" s="154" t="s">
        <v>258</v>
      </c>
      <c r="B68" s="253">
        <f>B7</f>
        <v>650708.56999999995</v>
      </c>
      <c r="C68" s="92"/>
      <c r="D68" s="92"/>
      <c r="E68" s="92"/>
    </row>
    <row r="69" spans="1:5" ht="23.25" thickBot="1">
      <c r="A69" s="155" t="s">
        <v>259</v>
      </c>
      <c r="B69" s="254">
        <f>B68-B70</f>
        <v>303617.36999999994</v>
      </c>
      <c r="C69" s="264">
        <f>D65-B69</f>
        <v>0</v>
      </c>
      <c r="D69" s="92"/>
      <c r="E69" s="92"/>
    </row>
    <row r="70" spans="1:5" ht="23.25" thickBot="1">
      <c r="A70" s="155" t="s">
        <v>260</v>
      </c>
      <c r="B70" s="252">
        <v>347091.20000000001</v>
      </c>
      <c r="C70" s="263"/>
      <c r="D70" s="263"/>
      <c r="E70" s="249"/>
    </row>
    <row r="71" spans="1:5" ht="23.25" thickBot="1">
      <c r="A71" s="155" t="s">
        <v>261</v>
      </c>
      <c r="B71" s="111">
        <v>0</v>
      </c>
      <c r="C71" s="92"/>
      <c r="D71" s="92"/>
      <c r="E71" s="92"/>
    </row>
    <row r="72" spans="1:5" ht="34.5" thickBot="1">
      <c r="A72" s="155" t="s">
        <v>262</v>
      </c>
      <c r="B72" s="251">
        <f>B70-B71</f>
        <v>347091.20000000001</v>
      </c>
      <c r="C72" s="92"/>
      <c r="D72" s="92"/>
      <c r="E72" s="46"/>
    </row>
    <row r="75" spans="1:5">
      <c r="E75" s="46"/>
    </row>
    <row r="77" spans="1:5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workbookViewId="0">
      <selection activeCell="I65" sqref="I65:J6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389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2020'!F78</f>
        <v>0</v>
      </c>
      <c r="G9" s="9"/>
      <c r="H9" s="7"/>
      <c r="I9" s="4"/>
      <c r="J9" s="19"/>
      <c r="K9" s="16"/>
    </row>
    <row r="10" spans="1:11">
      <c r="A10" s="15">
        <v>43955</v>
      </c>
      <c r="B10" s="4">
        <v>727220</v>
      </c>
      <c r="C10" s="4" t="s">
        <v>60</v>
      </c>
      <c r="D10" s="77"/>
      <c r="E10" s="77">
        <v>11327.62</v>
      </c>
      <c r="F10" s="6">
        <f t="shared" ref="F10:F67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43955</v>
      </c>
      <c r="B11" s="4">
        <v>208631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54817</v>
      </c>
      <c r="J11" s="19">
        <v>26</v>
      </c>
      <c r="K11" s="16">
        <v>43951</v>
      </c>
    </row>
    <row r="12" spans="1:11">
      <c r="A12" s="15">
        <v>43956</v>
      </c>
      <c r="B12" s="4">
        <v>42020</v>
      </c>
      <c r="C12" s="4" t="s">
        <v>188</v>
      </c>
      <c r="D12" s="77">
        <v>99</v>
      </c>
      <c r="E12" s="5"/>
      <c r="F12" s="6">
        <f t="shared" si="0"/>
        <v>-99</v>
      </c>
      <c r="G12" s="9" t="s">
        <v>72</v>
      </c>
      <c r="H12" s="7"/>
      <c r="I12" s="4"/>
      <c r="J12" s="19"/>
      <c r="K12" s="16"/>
    </row>
    <row r="13" spans="1:11">
      <c r="A13" s="15">
        <v>43956</v>
      </c>
      <c r="B13" s="4">
        <v>727220</v>
      </c>
      <c r="C13" s="4" t="s">
        <v>60</v>
      </c>
      <c r="D13" s="77"/>
      <c r="E13" s="77">
        <v>99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43958</v>
      </c>
      <c r="B14" s="4">
        <v>129108</v>
      </c>
      <c r="C14" s="4" t="s">
        <v>55</v>
      </c>
      <c r="D14" s="77">
        <v>589.39</v>
      </c>
      <c r="E14" s="5"/>
      <c r="F14" s="6">
        <f t="shared" si="0"/>
        <v>-589.39</v>
      </c>
      <c r="G14" s="9" t="s">
        <v>272</v>
      </c>
      <c r="H14" s="7" t="s">
        <v>117</v>
      </c>
      <c r="I14" s="4">
        <v>1</v>
      </c>
      <c r="J14" s="19">
        <v>1</v>
      </c>
      <c r="K14" s="16"/>
    </row>
    <row r="15" spans="1:11">
      <c r="A15" s="15">
        <v>43958</v>
      </c>
      <c r="B15" s="4">
        <v>300424</v>
      </c>
      <c r="C15" s="4" t="s">
        <v>57</v>
      </c>
      <c r="D15" s="77">
        <v>1935.91</v>
      </c>
      <c r="E15" s="5"/>
      <c r="F15" s="6">
        <f t="shared" si="0"/>
        <v>-2525.3000000000002</v>
      </c>
      <c r="G15" s="9" t="s">
        <v>271</v>
      </c>
      <c r="H15" s="7" t="s">
        <v>79</v>
      </c>
      <c r="I15" s="4"/>
      <c r="J15" s="19"/>
      <c r="K15" s="16"/>
    </row>
    <row r="16" spans="1:11">
      <c r="A16" s="15">
        <v>43958</v>
      </c>
      <c r="B16" s="4">
        <v>309379</v>
      </c>
      <c r="C16" s="4" t="s">
        <v>172</v>
      </c>
      <c r="D16" s="77">
        <v>70002.540000000008</v>
      </c>
      <c r="E16" s="5"/>
      <c r="F16" s="6">
        <f t="shared" si="0"/>
        <v>-72527.840000000011</v>
      </c>
      <c r="G16" s="9" t="s">
        <v>270</v>
      </c>
      <c r="H16" s="7"/>
      <c r="I16" s="4"/>
      <c r="J16" s="19"/>
      <c r="K16" s="16"/>
    </row>
    <row r="17" spans="1:11">
      <c r="A17" s="15">
        <v>43958</v>
      </c>
      <c r="B17" s="4">
        <v>300421</v>
      </c>
      <c r="C17" s="4" t="s">
        <v>57</v>
      </c>
      <c r="D17" s="77">
        <v>1905.1100000000001</v>
      </c>
      <c r="E17" s="5"/>
      <c r="F17" s="6">
        <f t="shared" si="0"/>
        <v>-74432.950000000012</v>
      </c>
      <c r="G17" s="9" t="s">
        <v>271</v>
      </c>
      <c r="H17" s="7" t="s">
        <v>84</v>
      </c>
      <c r="I17" s="4"/>
      <c r="J17" s="19"/>
      <c r="K17" s="16"/>
    </row>
    <row r="18" spans="1:11">
      <c r="A18" s="15">
        <v>43958</v>
      </c>
      <c r="B18" s="4">
        <v>1</v>
      </c>
      <c r="C18" s="4" t="s">
        <v>37</v>
      </c>
      <c r="D18" s="77"/>
      <c r="E18" s="77">
        <v>87318.02</v>
      </c>
      <c r="F18" s="6">
        <f t="shared" si="0"/>
        <v>12885.069999999992</v>
      </c>
      <c r="G18" s="9" t="s">
        <v>147</v>
      </c>
      <c r="H18" s="7"/>
      <c r="I18" s="4"/>
      <c r="J18" s="19"/>
      <c r="K18" s="16"/>
    </row>
    <row r="19" spans="1:11">
      <c r="A19" s="15">
        <v>43958</v>
      </c>
      <c r="B19" s="4">
        <v>300426</v>
      </c>
      <c r="C19" s="4" t="s">
        <v>367</v>
      </c>
      <c r="D19" s="77"/>
      <c r="E19" s="77">
        <v>3911.94</v>
      </c>
      <c r="F19" s="6">
        <f t="shared" si="0"/>
        <v>16797.009999999991</v>
      </c>
      <c r="G19" s="9" t="s">
        <v>232</v>
      </c>
      <c r="H19" s="7" t="s">
        <v>317</v>
      </c>
      <c r="I19" s="4"/>
      <c r="J19" s="19"/>
      <c r="K19" s="16"/>
    </row>
    <row r="20" spans="1:11">
      <c r="A20" s="15">
        <v>43958</v>
      </c>
      <c r="B20" s="4">
        <v>300426</v>
      </c>
      <c r="C20" s="4" t="s">
        <v>57</v>
      </c>
      <c r="D20" s="77">
        <v>3911.94</v>
      </c>
      <c r="E20" s="5"/>
      <c r="F20" s="6">
        <f t="shared" si="0"/>
        <v>12885.069999999991</v>
      </c>
      <c r="G20" s="9" t="s">
        <v>220</v>
      </c>
      <c r="H20" s="7" t="s">
        <v>317</v>
      </c>
      <c r="I20" s="4"/>
      <c r="J20" s="19"/>
      <c r="K20" s="16"/>
    </row>
    <row r="21" spans="1:11">
      <c r="A21" s="15">
        <v>43958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218959.99999999997</v>
      </c>
      <c r="G21" s="9" t="s">
        <v>147</v>
      </c>
      <c r="H21" s="7"/>
      <c r="I21" s="4"/>
      <c r="J21" s="19"/>
      <c r="K21" s="16"/>
    </row>
    <row r="22" spans="1:11">
      <c r="A22" s="15">
        <v>43959</v>
      </c>
      <c r="B22" s="4">
        <v>23</v>
      </c>
      <c r="C22" s="4" t="s">
        <v>68</v>
      </c>
      <c r="D22" s="77">
        <v>0.35000000000000003</v>
      </c>
      <c r="E22" s="77"/>
      <c r="F22" s="6">
        <f t="shared" si="0"/>
        <v>218959.64999999997</v>
      </c>
      <c r="G22" s="9" t="s">
        <v>220</v>
      </c>
      <c r="H22" s="7"/>
      <c r="I22" s="4"/>
      <c r="J22" s="19"/>
      <c r="K22" s="16"/>
    </row>
    <row r="23" spans="1:11">
      <c r="A23" s="15">
        <v>43962</v>
      </c>
      <c r="B23" s="4">
        <v>865633</v>
      </c>
      <c r="C23" s="4" t="s">
        <v>216</v>
      </c>
      <c r="D23" s="77">
        <v>1894.68</v>
      </c>
      <c r="E23" s="5"/>
      <c r="F23" s="6">
        <f t="shared" si="0"/>
        <v>217064.96999999997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>
      <c r="A24" s="15">
        <v>43963</v>
      </c>
      <c r="B24" s="4">
        <v>149615</v>
      </c>
      <c r="C24" s="4" t="s">
        <v>55</v>
      </c>
      <c r="D24" s="77">
        <v>3911.94</v>
      </c>
      <c r="E24" s="5"/>
      <c r="F24" s="6">
        <f t="shared" si="0"/>
        <v>213153.02999999997</v>
      </c>
      <c r="G24" s="9" t="s">
        <v>271</v>
      </c>
      <c r="H24" s="7"/>
      <c r="I24" s="4"/>
      <c r="J24" s="19"/>
      <c r="K24" s="16"/>
    </row>
    <row r="25" spans="1:11">
      <c r="A25" s="15">
        <v>43963</v>
      </c>
      <c r="B25" s="4">
        <v>286343</v>
      </c>
      <c r="C25" s="4" t="s">
        <v>58</v>
      </c>
      <c r="D25" s="77">
        <v>213000</v>
      </c>
      <c r="E25" s="5"/>
      <c r="F25" s="6">
        <f t="shared" si="0"/>
        <v>153.02999999996973</v>
      </c>
      <c r="G25" s="9" t="s">
        <v>149</v>
      </c>
      <c r="H25" s="7"/>
      <c r="I25" s="4"/>
      <c r="J25" s="19"/>
      <c r="K25" s="16"/>
    </row>
    <row r="26" spans="1:11">
      <c r="A26" s="15">
        <v>43963</v>
      </c>
      <c r="B26" s="4">
        <v>1920</v>
      </c>
      <c r="C26" s="4" t="s">
        <v>51</v>
      </c>
      <c r="D26" s="77"/>
      <c r="E26" s="77">
        <v>0.35000000000000003</v>
      </c>
      <c r="F26" s="6">
        <f t="shared" si="0"/>
        <v>153.37999999996973</v>
      </c>
      <c r="G26" s="9" t="s">
        <v>232</v>
      </c>
      <c r="H26" s="7"/>
      <c r="I26" s="4"/>
      <c r="J26" s="19"/>
      <c r="K26" s="16"/>
    </row>
    <row r="27" spans="1:11">
      <c r="A27" s="15">
        <v>43963</v>
      </c>
      <c r="B27" s="4">
        <v>727220</v>
      </c>
      <c r="C27" s="4" t="s">
        <v>60</v>
      </c>
      <c r="D27" s="77"/>
      <c r="E27" s="77">
        <v>4506.32</v>
      </c>
      <c r="F27" s="6">
        <f t="shared" si="0"/>
        <v>4659.6999999999698</v>
      </c>
      <c r="G27" s="9" t="s">
        <v>145</v>
      </c>
      <c r="H27" s="7"/>
      <c r="I27" s="4"/>
      <c r="J27" s="19"/>
      <c r="K27" s="16"/>
    </row>
    <row r="28" spans="1:11">
      <c r="A28" s="15">
        <v>43963</v>
      </c>
      <c r="B28" s="4">
        <v>300427</v>
      </c>
      <c r="C28" s="4" t="s">
        <v>57</v>
      </c>
      <c r="D28" s="77">
        <v>1919.18</v>
      </c>
      <c r="E28" s="5"/>
      <c r="F28" s="6">
        <f t="shared" si="0"/>
        <v>2740.5199999999695</v>
      </c>
      <c r="G28" s="9" t="s">
        <v>271</v>
      </c>
      <c r="H28" s="7" t="s">
        <v>111</v>
      </c>
      <c r="I28" s="4"/>
      <c r="J28" s="19"/>
      <c r="K28" s="16"/>
    </row>
    <row r="29" spans="1:11">
      <c r="A29" s="15">
        <v>43963</v>
      </c>
      <c r="B29" s="4">
        <v>300422</v>
      </c>
      <c r="C29" s="4" t="s">
        <v>57</v>
      </c>
      <c r="D29" s="77">
        <v>2740.52</v>
      </c>
      <c r="E29" s="5"/>
      <c r="F29" s="6">
        <f t="shared" si="0"/>
        <v>-3.0468072509393096E-11</v>
      </c>
      <c r="G29" s="9" t="s">
        <v>271</v>
      </c>
      <c r="H29" s="7" t="s">
        <v>106</v>
      </c>
      <c r="I29" s="4"/>
      <c r="J29" s="19"/>
      <c r="K29" s="16"/>
    </row>
    <row r="30" spans="1:11">
      <c r="A30" s="15">
        <v>43964</v>
      </c>
      <c r="B30" s="4">
        <v>727220</v>
      </c>
      <c r="C30" s="4" t="s">
        <v>60</v>
      </c>
      <c r="D30" s="77"/>
      <c r="E30" s="77">
        <v>1803.17</v>
      </c>
      <c r="F30" s="6">
        <f t="shared" si="0"/>
        <v>1803.1699999999696</v>
      </c>
      <c r="G30" s="9" t="s">
        <v>145</v>
      </c>
      <c r="H30" s="7"/>
      <c r="I30" s="4"/>
      <c r="J30" s="19"/>
      <c r="K30" s="16"/>
    </row>
    <row r="31" spans="1:11">
      <c r="A31" s="15">
        <v>43964</v>
      </c>
      <c r="B31" s="4">
        <v>300425</v>
      </c>
      <c r="C31" s="4" t="s">
        <v>57</v>
      </c>
      <c r="D31" s="77">
        <v>1803.17</v>
      </c>
      <c r="E31" s="5"/>
      <c r="F31" s="6">
        <f t="shared" si="0"/>
        <v>-3.0468072509393096E-11</v>
      </c>
      <c r="G31" s="9" t="s">
        <v>271</v>
      </c>
      <c r="H31" s="7" t="s">
        <v>118</v>
      </c>
      <c r="I31" s="4"/>
      <c r="J31" s="19"/>
      <c r="K31" s="16"/>
    </row>
    <row r="32" spans="1:11">
      <c r="A32" s="15">
        <v>43965</v>
      </c>
      <c r="B32" s="4">
        <v>300436</v>
      </c>
      <c r="C32" s="4" t="s">
        <v>57</v>
      </c>
      <c r="D32" s="77">
        <v>981.18000000000006</v>
      </c>
      <c r="E32" s="5"/>
      <c r="F32" s="6">
        <f t="shared" si="0"/>
        <v>-981.18000000003053</v>
      </c>
      <c r="G32" s="9" t="s">
        <v>174</v>
      </c>
      <c r="H32" s="7" t="s">
        <v>352</v>
      </c>
      <c r="I32" s="4">
        <v>59</v>
      </c>
      <c r="J32" s="19">
        <v>6</v>
      </c>
      <c r="K32" s="16">
        <v>43962</v>
      </c>
    </row>
    <row r="33" spans="1:11">
      <c r="A33" s="15">
        <v>43965</v>
      </c>
      <c r="B33" s="4">
        <v>300432</v>
      </c>
      <c r="C33" s="4" t="s">
        <v>57</v>
      </c>
      <c r="D33" s="77">
        <v>5067.9000000000005</v>
      </c>
      <c r="E33" s="5"/>
      <c r="F33" s="6">
        <f t="shared" si="0"/>
        <v>-6049.0800000000309</v>
      </c>
      <c r="G33" s="9" t="s">
        <v>174</v>
      </c>
      <c r="H33" s="7" t="s">
        <v>341</v>
      </c>
      <c r="I33" s="4">
        <v>326</v>
      </c>
      <c r="J33" s="19">
        <v>8</v>
      </c>
      <c r="K33" s="16">
        <v>43959</v>
      </c>
    </row>
    <row r="34" spans="1:11">
      <c r="A34" s="15">
        <v>43965</v>
      </c>
      <c r="B34" s="4">
        <v>300438</v>
      </c>
      <c r="C34" s="4" t="s">
        <v>57</v>
      </c>
      <c r="D34" s="77">
        <v>11774.16</v>
      </c>
      <c r="E34" s="5"/>
      <c r="F34" s="6">
        <f t="shared" si="0"/>
        <v>-17823.240000000031</v>
      </c>
      <c r="G34" s="9" t="s">
        <v>174</v>
      </c>
      <c r="H34" s="7" t="s">
        <v>342</v>
      </c>
      <c r="I34" s="4">
        <v>8</v>
      </c>
      <c r="J34" s="19">
        <v>8</v>
      </c>
      <c r="K34" s="16">
        <v>43959</v>
      </c>
    </row>
    <row r="35" spans="1:11">
      <c r="A35" s="15">
        <v>43965</v>
      </c>
      <c r="B35" s="4">
        <v>300439</v>
      </c>
      <c r="C35" s="4" t="s">
        <v>57</v>
      </c>
      <c r="D35" s="77">
        <v>17661.240000000002</v>
      </c>
      <c r="E35" s="5"/>
      <c r="F35" s="6">
        <f t="shared" si="0"/>
        <v>-35484.480000000032</v>
      </c>
      <c r="G35" s="9" t="s">
        <v>174</v>
      </c>
      <c r="H35" s="7" t="s">
        <v>224</v>
      </c>
      <c r="I35" s="4">
        <v>50</v>
      </c>
      <c r="J35" s="19">
        <v>9</v>
      </c>
      <c r="K35" s="16">
        <v>43959</v>
      </c>
    </row>
    <row r="36" spans="1:11">
      <c r="A36" s="15">
        <v>43965</v>
      </c>
      <c r="B36" s="4">
        <v>300431</v>
      </c>
      <c r="C36" s="4" t="s">
        <v>57</v>
      </c>
      <c r="D36" s="77">
        <v>16731.920000000002</v>
      </c>
      <c r="E36" s="5"/>
      <c r="F36" s="6">
        <f t="shared" si="0"/>
        <v>-52216.400000000038</v>
      </c>
      <c r="G36" s="9" t="s">
        <v>174</v>
      </c>
      <c r="H36" s="7" t="s">
        <v>128</v>
      </c>
      <c r="I36" s="4">
        <v>63</v>
      </c>
      <c r="J36" s="19">
        <v>20</v>
      </c>
      <c r="K36" s="16">
        <v>43959</v>
      </c>
    </row>
    <row r="37" spans="1:11">
      <c r="A37" s="15">
        <v>43965</v>
      </c>
      <c r="B37" s="4">
        <v>300430</v>
      </c>
      <c r="C37" s="4" t="s">
        <v>57</v>
      </c>
      <c r="D37" s="77">
        <v>4605.54</v>
      </c>
      <c r="E37" s="5"/>
      <c r="F37" s="6">
        <f t="shared" si="0"/>
        <v>-56821.940000000039</v>
      </c>
      <c r="G37" s="9" t="s">
        <v>174</v>
      </c>
      <c r="H37" s="7" t="s">
        <v>394</v>
      </c>
      <c r="I37" s="4">
        <v>34</v>
      </c>
      <c r="J37" s="19">
        <v>21</v>
      </c>
      <c r="K37" s="16">
        <v>43958</v>
      </c>
    </row>
    <row r="38" spans="1:11">
      <c r="A38" s="15">
        <v>43965</v>
      </c>
      <c r="B38" s="4">
        <v>727220</v>
      </c>
      <c r="C38" s="4" t="s">
        <v>60</v>
      </c>
      <c r="D38" s="77"/>
      <c r="E38" s="77">
        <v>67821.94</v>
      </c>
      <c r="F38" s="6">
        <f t="shared" si="0"/>
        <v>10999.999999999964</v>
      </c>
      <c r="G38" s="9" t="s">
        <v>145</v>
      </c>
      <c r="H38" s="7"/>
      <c r="I38" s="4"/>
      <c r="J38" s="19"/>
      <c r="K38" s="16"/>
    </row>
    <row r="39" spans="1:11">
      <c r="A39" s="15">
        <v>43965</v>
      </c>
      <c r="B39" s="4">
        <v>300435</v>
      </c>
      <c r="C39" s="4" t="s">
        <v>57</v>
      </c>
      <c r="D39" s="77">
        <v>11000</v>
      </c>
      <c r="E39" s="5"/>
      <c r="F39" s="6">
        <f t="shared" si="0"/>
        <v>-3.637978807091713E-11</v>
      </c>
      <c r="G39" s="9" t="s">
        <v>174</v>
      </c>
      <c r="H39" s="7" t="s">
        <v>361</v>
      </c>
      <c r="I39" s="4">
        <v>54</v>
      </c>
      <c r="J39" s="19">
        <v>2</v>
      </c>
      <c r="K39" s="16">
        <v>43962</v>
      </c>
    </row>
    <row r="40" spans="1:11">
      <c r="A40" s="15">
        <v>43966</v>
      </c>
      <c r="B40" s="4">
        <v>727220</v>
      </c>
      <c r="C40" s="4" t="s">
        <v>60</v>
      </c>
      <c r="D40" s="77"/>
      <c r="E40" s="77">
        <v>25174.080000000002</v>
      </c>
      <c r="F40" s="6">
        <f t="shared" si="0"/>
        <v>25174.079999999965</v>
      </c>
      <c r="G40" s="9" t="s">
        <v>145</v>
      </c>
      <c r="H40" s="7"/>
      <c r="I40" s="4"/>
      <c r="J40" s="19"/>
      <c r="K40" s="16"/>
    </row>
    <row r="41" spans="1:11">
      <c r="A41" s="15">
        <v>43966</v>
      </c>
      <c r="B41" s="4">
        <v>300428</v>
      </c>
      <c r="C41" s="4" t="s">
        <v>57</v>
      </c>
      <c r="D41" s="77">
        <v>58.2</v>
      </c>
      <c r="E41" s="5"/>
      <c r="F41" s="6">
        <f t="shared" si="0"/>
        <v>25115.879999999965</v>
      </c>
      <c r="G41" s="9" t="s">
        <v>274</v>
      </c>
      <c r="H41" s="7" t="s">
        <v>290</v>
      </c>
      <c r="I41" s="4">
        <v>4831</v>
      </c>
      <c r="J41" s="19">
        <v>1</v>
      </c>
      <c r="K41" s="16">
        <v>43950</v>
      </c>
    </row>
    <row r="42" spans="1:11">
      <c r="A42" s="15">
        <v>43966</v>
      </c>
      <c r="B42" s="4">
        <v>300433</v>
      </c>
      <c r="C42" s="4" t="s">
        <v>57</v>
      </c>
      <c r="D42" s="77">
        <v>17343.48</v>
      </c>
      <c r="E42" s="5"/>
      <c r="F42" s="6">
        <f t="shared" si="0"/>
        <v>7772.3999999999651</v>
      </c>
      <c r="G42" s="9" t="s">
        <v>174</v>
      </c>
      <c r="H42" s="7" t="s">
        <v>127</v>
      </c>
      <c r="I42" s="4">
        <v>90</v>
      </c>
      <c r="J42" s="19">
        <v>2</v>
      </c>
      <c r="K42" s="16">
        <v>43959</v>
      </c>
    </row>
    <row r="43" spans="1:11">
      <c r="A43" s="15">
        <v>43966</v>
      </c>
      <c r="B43" s="4">
        <v>151406</v>
      </c>
      <c r="C43" s="4" t="s">
        <v>173</v>
      </c>
      <c r="D43" s="77">
        <v>2352</v>
      </c>
      <c r="E43" s="5"/>
      <c r="F43" s="6">
        <f t="shared" si="0"/>
        <v>5420.3999999999651</v>
      </c>
      <c r="G43" s="9" t="s">
        <v>178</v>
      </c>
      <c r="H43" s="7" t="s">
        <v>223</v>
      </c>
      <c r="I43" s="4">
        <v>601</v>
      </c>
      <c r="J43" s="19">
        <v>12</v>
      </c>
      <c r="K43" s="16">
        <v>43955</v>
      </c>
    </row>
    <row r="44" spans="1:11">
      <c r="A44" s="15">
        <v>43966</v>
      </c>
      <c r="B44" s="4">
        <v>300437</v>
      </c>
      <c r="C44" s="4" t="s">
        <v>57</v>
      </c>
      <c r="D44" s="77">
        <v>3240</v>
      </c>
      <c r="E44" s="5"/>
      <c r="F44" s="6">
        <f t="shared" si="0"/>
        <v>2180.3999999999651</v>
      </c>
      <c r="G44" s="9" t="s">
        <v>174</v>
      </c>
      <c r="H44" s="7" t="s">
        <v>302</v>
      </c>
      <c r="I44" s="4">
        <v>125</v>
      </c>
      <c r="J44" s="19">
        <v>1</v>
      </c>
      <c r="K44" s="16">
        <v>43959</v>
      </c>
    </row>
    <row r="45" spans="1:11">
      <c r="A45" s="15">
        <v>43966</v>
      </c>
      <c r="B45" s="4">
        <v>300429</v>
      </c>
      <c r="C45" s="4" t="s">
        <v>57</v>
      </c>
      <c r="D45" s="77">
        <v>2180.4</v>
      </c>
      <c r="E45" s="5"/>
      <c r="F45" s="6">
        <f t="shared" si="0"/>
        <v>-3.5015546018257737E-11</v>
      </c>
      <c r="G45" s="9" t="s">
        <v>174</v>
      </c>
      <c r="H45" s="7" t="s">
        <v>343</v>
      </c>
      <c r="I45" s="4">
        <v>934</v>
      </c>
      <c r="J45" s="19">
        <v>8</v>
      </c>
      <c r="K45" s="16">
        <v>43955</v>
      </c>
    </row>
    <row r="46" spans="1:11">
      <c r="A46" s="15">
        <v>43969</v>
      </c>
      <c r="B46" s="4">
        <v>300423</v>
      </c>
      <c r="C46" s="4" t="s">
        <v>57</v>
      </c>
      <c r="D46" s="77">
        <v>4340.01</v>
      </c>
      <c r="E46" s="5"/>
      <c r="F46" s="6">
        <f t="shared" si="0"/>
        <v>-4340.0100000000348</v>
      </c>
      <c r="G46" s="9" t="s">
        <v>220</v>
      </c>
      <c r="H46" s="7" t="s">
        <v>115</v>
      </c>
      <c r="I46" s="4"/>
      <c r="J46" s="19"/>
      <c r="K46" s="16"/>
    </row>
    <row r="47" spans="1:11">
      <c r="A47" s="15">
        <v>43969</v>
      </c>
      <c r="B47" s="4">
        <v>300441</v>
      </c>
      <c r="C47" s="4" t="s">
        <v>391</v>
      </c>
      <c r="D47" s="77"/>
      <c r="E47" s="77">
        <v>11510</v>
      </c>
      <c r="F47" s="6">
        <f t="shared" si="0"/>
        <v>7169.9899999999652</v>
      </c>
      <c r="G47" s="9" t="s">
        <v>232</v>
      </c>
      <c r="H47" s="7" t="s">
        <v>395</v>
      </c>
      <c r="I47" s="4"/>
      <c r="J47" s="19"/>
      <c r="K47" s="16"/>
    </row>
    <row r="48" spans="1:11">
      <c r="A48" s="15">
        <v>43969</v>
      </c>
      <c r="B48" s="4">
        <v>300445</v>
      </c>
      <c r="C48" s="4" t="s">
        <v>391</v>
      </c>
      <c r="D48" s="77"/>
      <c r="E48" s="77">
        <v>4525</v>
      </c>
      <c r="F48" s="6">
        <f t="shared" si="0"/>
        <v>11694.989999999965</v>
      </c>
      <c r="G48" s="9" t="s">
        <v>232</v>
      </c>
      <c r="H48" s="7" t="s">
        <v>395</v>
      </c>
      <c r="I48" s="4"/>
      <c r="J48" s="19"/>
      <c r="K48" s="16"/>
    </row>
    <row r="49" spans="1:11">
      <c r="A49" s="15">
        <v>43969</v>
      </c>
      <c r="B49" s="4">
        <v>300445</v>
      </c>
      <c r="C49" s="4" t="s">
        <v>57</v>
      </c>
      <c r="D49" s="77">
        <v>4525</v>
      </c>
      <c r="E49" s="5"/>
      <c r="F49" s="6">
        <f t="shared" si="0"/>
        <v>7169.9899999999652</v>
      </c>
      <c r="G49" s="9" t="s">
        <v>220</v>
      </c>
      <c r="H49" s="7" t="s">
        <v>395</v>
      </c>
      <c r="I49" s="4"/>
      <c r="J49" s="19"/>
      <c r="K49" s="16"/>
    </row>
    <row r="50" spans="1:11">
      <c r="A50" s="15">
        <v>43969</v>
      </c>
      <c r="B50" s="4">
        <v>727220</v>
      </c>
      <c r="C50" s="4" t="s">
        <v>60</v>
      </c>
      <c r="D50" s="77"/>
      <c r="E50" s="77">
        <v>20375.010000000002</v>
      </c>
      <c r="F50" s="6">
        <f t="shared" si="0"/>
        <v>27544.999999999967</v>
      </c>
      <c r="G50" s="9" t="s">
        <v>145</v>
      </c>
      <c r="H50" s="7"/>
      <c r="I50" s="4"/>
      <c r="J50" s="19"/>
      <c r="K50" s="16"/>
    </row>
    <row r="51" spans="1:11">
      <c r="A51" s="15">
        <v>43969</v>
      </c>
      <c r="B51" s="4">
        <v>300441</v>
      </c>
      <c r="C51" s="4" t="s">
        <v>57</v>
      </c>
      <c r="D51" s="77">
        <v>11510</v>
      </c>
      <c r="E51" s="5"/>
      <c r="F51" s="6">
        <f t="shared" si="0"/>
        <v>16034.999999999967</v>
      </c>
      <c r="G51" s="9" t="s">
        <v>220</v>
      </c>
      <c r="H51" s="7" t="s">
        <v>395</v>
      </c>
      <c r="I51" s="4"/>
      <c r="J51" s="19"/>
      <c r="K51" s="16"/>
    </row>
    <row r="52" spans="1:11">
      <c r="A52" s="15">
        <v>43970</v>
      </c>
      <c r="B52" s="4">
        <v>300434</v>
      </c>
      <c r="C52" s="4" t="s">
        <v>57</v>
      </c>
      <c r="D52" s="77">
        <v>11000</v>
      </c>
      <c r="E52" s="5"/>
      <c r="F52" s="6">
        <f t="shared" si="0"/>
        <v>5034.9999999999673</v>
      </c>
      <c r="G52" s="9" t="s">
        <v>174</v>
      </c>
      <c r="H52" s="7" t="s">
        <v>369</v>
      </c>
      <c r="I52" s="4">
        <v>15</v>
      </c>
      <c r="J52" s="19">
        <v>4</v>
      </c>
      <c r="K52" s="16">
        <v>43964</v>
      </c>
    </row>
    <row r="53" spans="1:11">
      <c r="A53" s="15">
        <v>43971</v>
      </c>
      <c r="B53" s="4">
        <v>727220</v>
      </c>
      <c r="C53" s="4" t="s">
        <v>60</v>
      </c>
      <c r="D53" s="77"/>
      <c r="E53" s="77">
        <v>13869.86</v>
      </c>
      <c r="F53" s="6">
        <f t="shared" si="0"/>
        <v>18904.859999999968</v>
      </c>
      <c r="G53" s="9" t="s">
        <v>145</v>
      </c>
      <c r="H53" s="7"/>
      <c r="I53" s="4"/>
      <c r="J53" s="19"/>
      <c r="K53" s="16"/>
    </row>
    <row r="54" spans="1:11">
      <c r="A54" s="15">
        <v>43971</v>
      </c>
      <c r="B54" s="4">
        <v>466817</v>
      </c>
      <c r="C54" s="4" t="s">
        <v>53</v>
      </c>
      <c r="D54" s="77">
        <v>579.44000000000005</v>
      </c>
      <c r="E54" s="5"/>
      <c r="F54" s="6">
        <f t="shared" si="0"/>
        <v>18325.419999999969</v>
      </c>
      <c r="G54" s="9" t="s">
        <v>282</v>
      </c>
      <c r="H54" s="7" t="s">
        <v>256</v>
      </c>
      <c r="I54" s="4">
        <v>25</v>
      </c>
      <c r="J54" s="19">
        <v>1</v>
      </c>
      <c r="K54" s="16"/>
    </row>
    <row r="55" spans="1:11">
      <c r="A55" s="15">
        <v>43971</v>
      </c>
      <c r="B55" s="4">
        <v>466950</v>
      </c>
      <c r="C55" s="4" t="s">
        <v>53</v>
      </c>
      <c r="D55" s="77">
        <v>3358.02</v>
      </c>
      <c r="E55" s="5"/>
      <c r="F55" s="6">
        <f t="shared" si="0"/>
        <v>14967.399999999969</v>
      </c>
      <c r="G55" s="9" t="s">
        <v>282</v>
      </c>
      <c r="H55" s="7" t="s">
        <v>256</v>
      </c>
      <c r="I55" s="4">
        <v>23</v>
      </c>
      <c r="J55" s="19">
        <v>1</v>
      </c>
      <c r="K55" s="16"/>
    </row>
    <row r="56" spans="1:11">
      <c r="A56" s="15">
        <v>43971</v>
      </c>
      <c r="B56" s="4">
        <v>466616</v>
      </c>
      <c r="C56" s="4" t="s">
        <v>53</v>
      </c>
      <c r="D56" s="77">
        <v>2877.12</v>
      </c>
      <c r="E56" s="5"/>
      <c r="F56" s="6">
        <f t="shared" si="0"/>
        <v>12090.27999999997</v>
      </c>
      <c r="G56" s="9" t="s">
        <v>43</v>
      </c>
      <c r="H56" s="7" t="s">
        <v>134</v>
      </c>
      <c r="I56" s="4">
        <v>65</v>
      </c>
      <c r="J56" s="19">
        <v>1</v>
      </c>
      <c r="K56" s="16">
        <v>43970</v>
      </c>
    </row>
    <row r="57" spans="1:11">
      <c r="A57" s="15">
        <v>43971</v>
      </c>
      <c r="B57" s="4">
        <v>466708</v>
      </c>
      <c r="C57" s="4" t="s">
        <v>53</v>
      </c>
      <c r="D57" s="77">
        <v>928.1</v>
      </c>
      <c r="E57" s="5"/>
      <c r="F57" s="6">
        <f t="shared" si="0"/>
        <v>11162.179999999969</v>
      </c>
      <c r="G57" s="9" t="s">
        <v>273</v>
      </c>
      <c r="H57" s="7" t="s">
        <v>257</v>
      </c>
      <c r="I57" s="4">
        <v>64</v>
      </c>
      <c r="J57" s="19">
        <v>1</v>
      </c>
      <c r="K57" s="16">
        <v>43970</v>
      </c>
    </row>
    <row r="58" spans="1:11">
      <c r="A58" s="15">
        <v>43971</v>
      </c>
      <c r="B58" s="4">
        <v>863699</v>
      </c>
      <c r="C58" s="4" t="s">
        <v>54</v>
      </c>
      <c r="D58" s="77">
        <v>10720.58</v>
      </c>
      <c r="E58" s="5"/>
      <c r="F58" s="6">
        <f t="shared" si="0"/>
        <v>441.59999999996944</v>
      </c>
      <c r="G58" s="9" t="s">
        <v>29</v>
      </c>
      <c r="H58" s="7" t="s">
        <v>116</v>
      </c>
      <c r="I58" s="4">
        <v>25</v>
      </c>
      <c r="J58" s="19">
        <v>1</v>
      </c>
      <c r="K58" s="16"/>
    </row>
    <row r="59" spans="1:11">
      <c r="A59" s="15">
        <v>43971</v>
      </c>
      <c r="B59" s="4">
        <v>701496</v>
      </c>
      <c r="C59" s="4" t="s">
        <v>52</v>
      </c>
      <c r="D59" s="77">
        <v>441.6</v>
      </c>
      <c r="E59" s="5"/>
      <c r="F59" s="6">
        <f t="shared" si="0"/>
        <v>-3.0581759347114712E-11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43972</v>
      </c>
      <c r="B60" s="4">
        <v>300447</v>
      </c>
      <c r="C60" s="4" t="s">
        <v>57</v>
      </c>
      <c r="D60" s="77">
        <v>1945.28</v>
      </c>
      <c r="E60" s="5"/>
      <c r="F60" s="6">
        <f t="shared" si="0"/>
        <v>-1945.2800000000307</v>
      </c>
      <c r="G60" s="9" t="s">
        <v>174</v>
      </c>
      <c r="H60" s="7" t="s">
        <v>310</v>
      </c>
      <c r="I60" s="4">
        <v>91</v>
      </c>
      <c r="J60" s="19">
        <v>12</v>
      </c>
      <c r="K60" s="16">
        <v>43963</v>
      </c>
    </row>
    <row r="61" spans="1:11">
      <c r="A61" s="15">
        <v>43972</v>
      </c>
      <c r="B61" s="4">
        <v>727220</v>
      </c>
      <c r="C61" s="4" t="s">
        <v>60</v>
      </c>
      <c r="D61" s="77"/>
      <c r="E61" s="77">
        <v>1945.28</v>
      </c>
      <c r="F61" s="6">
        <f t="shared" si="0"/>
        <v>-3.0695446184836328E-11</v>
      </c>
      <c r="G61" s="9" t="s">
        <v>145</v>
      </c>
      <c r="H61" s="7"/>
      <c r="I61" s="4"/>
      <c r="J61" s="19"/>
      <c r="K61" s="16"/>
    </row>
    <row r="62" spans="1:11">
      <c r="A62" s="15">
        <v>43977</v>
      </c>
      <c r="B62" s="4">
        <v>261429</v>
      </c>
      <c r="C62" s="4" t="s">
        <v>44</v>
      </c>
      <c r="D62" s="77"/>
      <c r="E62" s="77">
        <v>1207.45</v>
      </c>
      <c r="F62" s="6">
        <f t="shared" si="0"/>
        <v>1207.4499999999694</v>
      </c>
      <c r="G62" s="9" t="s">
        <v>234</v>
      </c>
      <c r="H62" s="7"/>
      <c r="I62" s="4"/>
      <c r="J62" s="19"/>
      <c r="K62" s="16"/>
    </row>
    <row r="63" spans="1:11">
      <c r="A63" s="15">
        <v>43977</v>
      </c>
      <c r="B63" s="4">
        <v>727220</v>
      </c>
      <c r="C63" s="4" t="s">
        <v>60</v>
      </c>
      <c r="D63" s="77"/>
      <c r="E63" s="77">
        <v>20373.25</v>
      </c>
      <c r="F63" s="6">
        <f t="shared" si="0"/>
        <v>21580.699999999968</v>
      </c>
      <c r="G63" s="9" t="s">
        <v>145</v>
      </c>
      <c r="H63" s="7"/>
      <c r="I63" s="4"/>
      <c r="J63" s="19"/>
      <c r="K63" s="16"/>
    </row>
    <row r="64" spans="1:11">
      <c r="A64" s="15">
        <v>43977</v>
      </c>
      <c r="B64" s="4">
        <v>261409</v>
      </c>
      <c r="C64" s="4" t="s">
        <v>47</v>
      </c>
      <c r="D64" s="77">
        <v>20931.689999999999</v>
      </c>
      <c r="E64" s="5"/>
      <c r="F64" s="6">
        <f t="shared" si="0"/>
        <v>649.0099999999693</v>
      </c>
      <c r="G64" s="9" t="s">
        <v>176</v>
      </c>
      <c r="H64" s="7"/>
      <c r="I64" s="4"/>
      <c r="J64" s="19"/>
      <c r="K64" s="16"/>
    </row>
    <row r="65" spans="1:11">
      <c r="A65" s="15">
        <v>43977</v>
      </c>
      <c r="B65" s="4">
        <v>261410</v>
      </c>
      <c r="C65" s="4" t="s">
        <v>47</v>
      </c>
      <c r="D65" s="77">
        <v>649.01</v>
      </c>
      <c r="E65" s="5"/>
      <c r="F65" s="6">
        <f t="shared" si="0"/>
        <v>-3.0695446184836328E-11</v>
      </c>
      <c r="G65" s="9" t="s">
        <v>151</v>
      </c>
      <c r="H65" s="7"/>
      <c r="I65" s="4"/>
      <c r="J65" s="19"/>
      <c r="K65" s="16"/>
    </row>
    <row r="66" spans="1:11" s="274" customFormat="1">
      <c r="A66" s="15">
        <v>43980</v>
      </c>
      <c r="B66" s="4">
        <v>300423</v>
      </c>
      <c r="C66" s="4" t="s">
        <v>392</v>
      </c>
      <c r="D66" s="77"/>
      <c r="E66" s="5">
        <v>4340.01</v>
      </c>
      <c r="F66" s="6">
        <f t="shared" si="0"/>
        <v>4340.0099999999693</v>
      </c>
      <c r="G66" s="9" t="s">
        <v>232</v>
      </c>
      <c r="H66" s="7" t="s">
        <v>115</v>
      </c>
      <c r="I66" s="4"/>
      <c r="J66" s="19"/>
      <c r="K66" s="16"/>
    </row>
    <row r="67" spans="1:11" s="274" customFormat="1">
      <c r="A67" s="15">
        <v>43980</v>
      </c>
      <c r="B67" s="4">
        <v>300423</v>
      </c>
      <c r="C67" s="4" t="s">
        <v>393</v>
      </c>
      <c r="D67" s="77">
        <v>4340.6099999999997</v>
      </c>
      <c r="E67" s="5"/>
      <c r="F67" s="6">
        <f t="shared" si="0"/>
        <v>-0.60000000003037712</v>
      </c>
      <c r="G67" s="9" t="s">
        <v>271</v>
      </c>
      <c r="H67" s="7" t="s">
        <v>115</v>
      </c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24" t="s">
        <v>12</v>
      </c>
      <c r="B69" s="325"/>
      <c r="C69" s="21"/>
      <c r="D69" s="78">
        <f>SUM(D10:D68)</f>
        <v>486183.82999999996</v>
      </c>
      <c r="E69" s="40">
        <f>SUM(E10:E68)</f>
        <v>486183.23000000004</v>
      </c>
      <c r="F69" s="22">
        <f>F9-D69+E69</f>
        <v>-0.59999999991850927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299" t="s">
        <v>123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</row>
    <row r="75" spans="1:11" ht="18" customHeight="1"/>
    <row r="76" spans="1:11" ht="18" customHeight="1">
      <c r="A76" s="318" t="s">
        <v>390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19" t="s">
        <v>21</v>
      </c>
      <c r="B78" s="320"/>
      <c r="C78" s="320"/>
      <c r="D78" s="320"/>
      <c r="E78" s="321"/>
      <c r="F78" s="3"/>
      <c r="G78" s="322" t="s">
        <v>20</v>
      </c>
      <c r="H78" s="322"/>
      <c r="I78" s="322"/>
      <c r="J78" s="322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06">
        <f>SUMIF($G$8:$G$68,G79,$E$8:$E$68)</f>
        <v>293392.95</v>
      </c>
      <c r="J79" s="307"/>
      <c r="K79" s="24"/>
    </row>
    <row r="80" spans="1:11">
      <c r="A80" s="27" t="s">
        <v>149</v>
      </c>
      <c r="B80" s="63"/>
      <c r="C80" s="63"/>
      <c r="D80" s="80"/>
      <c r="E80" s="29">
        <f t="shared" si="1"/>
        <v>213000</v>
      </c>
      <c r="F80" s="3"/>
      <c r="G80" s="316" t="s">
        <v>145</v>
      </c>
      <c r="H80" s="317"/>
      <c r="I80" s="306">
        <f>SUMIF($G$8:$G$68,G80,$E$8:$E$68)</f>
        <v>167295.53</v>
      </c>
      <c r="J80" s="307"/>
      <c r="K80" s="24"/>
    </row>
    <row r="81" spans="1:13">
      <c r="A81" s="62" t="s">
        <v>368</v>
      </c>
      <c r="B81" s="63"/>
      <c r="C81" s="63"/>
      <c r="D81" s="80"/>
      <c r="E81" s="29">
        <f t="shared" si="1"/>
        <v>0</v>
      </c>
      <c r="F81" s="3"/>
      <c r="G81" s="268" t="s">
        <v>234</v>
      </c>
      <c r="H81" s="269"/>
      <c r="I81" s="306">
        <f>SUMIF($G$8:$G$68,G81,$E$8:$E$68)</f>
        <v>1207.45</v>
      </c>
      <c r="J81" s="307"/>
      <c r="K81" s="24"/>
      <c r="M81" s="209" t="s">
        <v>344</v>
      </c>
    </row>
    <row r="82" spans="1:13">
      <c r="A82" s="27" t="s">
        <v>174</v>
      </c>
      <c r="B82" s="63"/>
      <c r="C82" s="63"/>
      <c r="D82" s="80"/>
      <c r="E82" s="29">
        <f t="shared" si="1"/>
        <v>103531.09999999999</v>
      </c>
      <c r="F82" s="3"/>
      <c r="G82" s="62" t="s">
        <v>232</v>
      </c>
      <c r="H82" s="26"/>
      <c r="I82" s="306">
        <f>SUMIF($G$8:$G$68,G82,$E$8:$E$68)</f>
        <v>24287.300000000003</v>
      </c>
      <c r="J82" s="307"/>
      <c r="K82" s="24"/>
    </row>
    <row r="83" spans="1:13">
      <c r="A83" s="27" t="s">
        <v>177</v>
      </c>
      <c r="B83" s="63"/>
      <c r="C83" s="63"/>
      <c r="D83" s="80"/>
      <c r="E83" s="29">
        <f t="shared" si="1"/>
        <v>0</v>
      </c>
      <c r="F83" s="3"/>
      <c r="G83" s="62"/>
      <c r="H83" s="26"/>
      <c r="I83" s="306"/>
      <c r="J83" s="307"/>
      <c r="K83" s="24"/>
    </row>
    <row r="84" spans="1:13">
      <c r="A84" s="27" t="s">
        <v>255</v>
      </c>
      <c r="B84" s="63"/>
      <c r="C84" s="63"/>
      <c r="D84" s="80"/>
      <c r="E84" s="29">
        <f t="shared" si="1"/>
        <v>0</v>
      </c>
      <c r="F84" s="3"/>
      <c r="G84" s="47" t="s">
        <v>22</v>
      </c>
      <c r="H84" s="48"/>
      <c r="I84" s="302">
        <f>SUM(I79:J83)</f>
        <v>486183.23</v>
      </c>
      <c r="J84" s="303"/>
      <c r="K84" s="61">
        <f>E69-I84</f>
        <v>0</v>
      </c>
    </row>
    <row r="85" spans="1:13">
      <c r="A85" s="27" t="s">
        <v>175</v>
      </c>
      <c r="B85" s="63"/>
      <c r="C85" s="63"/>
      <c r="D85" s="80"/>
      <c r="E85" s="29">
        <f t="shared" si="1"/>
        <v>11327.62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18556.440000000002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68" t="s">
        <v>19</v>
      </c>
      <c r="H87" s="269"/>
      <c r="I87" s="306">
        <f>'CEF Abril 2020'!I101:J101</f>
        <v>347091.19999999984</v>
      </c>
      <c r="J87" s="307"/>
    </row>
    <row r="88" spans="1:13">
      <c r="A88" s="27" t="s">
        <v>270</v>
      </c>
      <c r="B88" s="63"/>
      <c r="C88" s="63"/>
      <c r="D88" s="80"/>
      <c r="E88" s="29">
        <f t="shared" si="1"/>
        <v>70002.540000000008</v>
      </c>
      <c r="F88" s="3"/>
      <c r="G88" s="27" t="s">
        <v>149</v>
      </c>
      <c r="H88" s="269"/>
      <c r="I88" s="306">
        <f>SUMIF($G$8:$G$68,G88,$D$8:$D$68)</f>
        <v>213000</v>
      </c>
      <c r="J88" s="307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16" t="s">
        <v>145</v>
      </c>
      <c r="H89" s="317"/>
      <c r="I89" s="306">
        <f>-SUMIF($G$8:$G$68,G89,$E$8:$E$68)</f>
        <v>-167295.53</v>
      </c>
      <c r="J89" s="307"/>
    </row>
    <row r="90" spans="1:13">
      <c r="A90" s="27" t="s">
        <v>29</v>
      </c>
      <c r="B90" s="63"/>
      <c r="C90" s="63"/>
      <c r="D90" s="80"/>
      <c r="E90" s="29">
        <f t="shared" si="1"/>
        <v>10720.58</v>
      </c>
      <c r="F90" s="3"/>
      <c r="G90" s="268" t="s">
        <v>30</v>
      </c>
      <c r="H90" s="269"/>
      <c r="I90" s="306">
        <v>843.19</v>
      </c>
      <c r="J90" s="307"/>
    </row>
    <row r="91" spans="1:13">
      <c r="A91" s="27" t="s">
        <v>282</v>
      </c>
      <c r="B91" s="63"/>
      <c r="C91" s="63"/>
      <c r="D91" s="80"/>
      <c r="E91" s="29">
        <f t="shared" si="1"/>
        <v>3937.46</v>
      </c>
      <c r="F91" s="3"/>
      <c r="G91" s="30"/>
      <c r="H91" s="31"/>
      <c r="I91" s="314"/>
      <c r="J91" s="315"/>
    </row>
    <row r="92" spans="1:13">
      <c r="A92" s="27" t="s">
        <v>273</v>
      </c>
      <c r="B92" s="63"/>
      <c r="C92" s="63"/>
      <c r="D92" s="80"/>
      <c r="E92" s="29">
        <f t="shared" si="1"/>
        <v>928.1</v>
      </c>
      <c r="F92" s="3"/>
      <c r="G92" s="32" t="s">
        <v>18</v>
      </c>
      <c r="H92" s="31"/>
      <c r="I92" s="310">
        <f>SUM(I87:J90)</f>
        <v>393638.85999999981</v>
      </c>
      <c r="J92" s="311"/>
    </row>
    <row r="93" spans="1:13">
      <c r="A93" s="27" t="s">
        <v>218</v>
      </c>
      <c r="B93" s="63"/>
      <c r="C93" s="63"/>
      <c r="D93" s="80"/>
      <c r="E93" s="29">
        <f t="shared" si="1"/>
        <v>1894.68</v>
      </c>
      <c r="F93" s="3"/>
      <c r="G93" s="49"/>
      <c r="H93" s="41"/>
      <c r="I93" s="41"/>
      <c r="J93" s="270"/>
      <c r="K93" s="24"/>
    </row>
    <row r="94" spans="1:13">
      <c r="A94" s="27" t="s">
        <v>379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12"/>
      <c r="J94" s="313"/>
      <c r="K94" s="24"/>
    </row>
    <row r="95" spans="1:13">
      <c r="A95" s="27" t="s">
        <v>231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04">
        <f>'CEF Março 2019'!I88:J88</f>
        <v>0</v>
      </c>
      <c r="J95" s="305"/>
      <c r="K95" s="24"/>
    </row>
    <row r="96" spans="1:13">
      <c r="A96" s="27" t="s">
        <v>28</v>
      </c>
      <c r="B96" s="63"/>
      <c r="C96" s="63"/>
      <c r="D96" s="80"/>
      <c r="E96" s="29">
        <f t="shared" si="1"/>
        <v>0</v>
      </c>
      <c r="F96" s="3"/>
      <c r="G96" s="27" t="s">
        <v>48</v>
      </c>
      <c r="H96" s="269"/>
      <c r="I96" s="306">
        <f>SUMIF($G$8:$G$68,G96,$E$8:$E$68)</f>
        <v>0</v>
      </c>
      <c r="J96" s="307"/>
      <c r="K96" s="24"/>
    </row>
    <row r="97" spans="1:13">
      <c r="A97" s="27" t="s">
        <v>150</v>
      </c>
      <c r="B97" s="63"/>
      <c r="C97" s="63"/>
      <c r="D97" s="80"/>
      <c r="E97" s="29">
        <f t="shared" si="1"/>
        <v>441.6</v>
      </c>
      <c r="F97" s="3"/>
      <c r="G97" s="268" t="s">
        <v>14</v>
      </c>
      <c r="H97" s="269"/>
      <c r="I97" s="306">
        <f>-SUMIF($G$8:$G$68,G97,$D$8:$D$68)</f>
        <v>0</v>
      </c>
      <c r="J97" s="307"/>
      <c r="K97" s="24"/>
    </row>
    <row r="98" spans="1:13">
      <c r="A98" s="27" t="s">
        <v>220</v>
      </c>
      <c r="B98" s="63"/>
      <c r="C98" s="63"/>
      <c r="D98" s="80"/>
      <c r="E98" s="29">
        <f t="shared" si="1"/>
        <v>24287.3</v>
      </c>
      <c r="F98" s="3"/>
      <c r="G98" s="30"/>
      <c r="H98" s="31"/>
      <c r="I98" s="314"/>
      <c r="J98" s="315"/>
      <c r="K98" s="24"/>
    </row>
    <row r="99" spans="1:13">
      <c r="A99" s="27" t="s">
        <v>151</v>
      </c>
      <c r="B99" s="41"/>
      <c r="C99" s="41"/>
      <c r="D99" s="80"/>
      <c r="E99" s="29">
        <f t="shared" si="1"/>
        <v>649.01</v>
      </c>
      <c r="F99" s="3"/>
      <c r="G99" s="32" t="s">
        <v>17</v>
      </c>
      <c r="H99" s="31"/>
      <c r="I99" s="302">
        <f>SUM(I95:J98)</f>
        <v>0</v>
      </c>
      <c r="J99" s="303"/>
      <c r="K99" s="24"/>
    </row>
    <row r="100" spans="1:13">
      <c r="A100" s="27" t="s">
        <v>49</v>
      </c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270"/>
      <c r="K100" s="24"/>
    </row>
    <row r="101" spans="1:13">
      <c r="A101" s="27" t="s">
        <v>176</v>
      </c>
      <c r="B101" s="63"/>
      <c r="C101" s="63"/>
      <c r="D101" s="80"/>
      <c r="E101" s="29">
        <f t="shared" si="1"/>
        <v>20931.689999999999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272</v>
      </c>
      <c r="B102" s="63"/>
      <c r="C102" s="63"/>
      <c r="D102" s="80"/>
      <c r="E102" s="29">
        <f t="shared" si="1"/>
        <v>589.39</v>
      </c>
      <c r="F102" s="3"/>
      <c r="G102" s="268" t="s">
        <v>19</v>
      </c>
      <c r="H102" s="269"/>
      <c r="I102" s="308">
        <f>'CEF Abril 2020'!I115:J115</f>
        <v>62677.369999999297</v>
      </c>
      <c r="J102" s="309"/>
      <c r="K102" s="24"/>
    </row>
    <row r="103" spans="1:13">
      <c r="A103" s="27" t="s">
        <v>43</v>
      </c>
      <c r="B103" s="63"/>
      <c r="C103" s="63"/>
      <c r="D103" s="80"/>
      <c r="E103" s="29">
        <f t="shared" si="1"/>
        <v>2877.12</v>
      </c>
      <c r="F103" s="3"/>
      <c r="G103" s="268" t="s">
        <v>398</v>
      </c>
      <c r="H103" s="269"/>
      <c r="I103" s="291">
        <f>249997.75+16000+16408.72+10986.48</f>
        <v>293392.94999999995</v>
      </c>
      <c r="J103" s="292"/>
      <c r="K103" s="24"/>
    </row>
    <row r="104" spans="1:13">
      <c r="A104" s="27" t="s">
        <v>274</v>
      </c>
      <c r="B104" s="63"/>
      <c r="C104" s="63"/>
      <c r="D104" s="80"/>
      <c r="E104" s="29">
        <f t="shared" si="1"/>
        <v>58.2</v>
      </c>
      <c r="F104" s="3"/>
      <c r="G104" s="268" t="s">
        <v>147</v>
      </c>
      <c r="H104" s="269"/>
      <c r="I104" s="306">
        <f>-SUMIF($G$8:$G$68,G104,$E$8:$E$68)</f>
        <v>-293392.95</v>
      </c>
      <c r="J104" s="307"/>
      <c r="K104" s="24"/>
    </row>
    <row r="105" spans="1:13">
      <c r="A105" s="27" t="s">
        <v>179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00"/>
      <c r="J105" s="301"/>
      <c r="K105" s="24"/>
    </row>
    <row r="106" spans="1:13">
      <c r="A106" s="27" t="s">
        <v>146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10">
        <f>SUM(I102:J105)</f>
        <v>62677.369999999239</v>
      </c>
      <c r="J106" s="311"/>
      <c r="K106" s="24"/>
      <c r="M106" s="39"/>
    </row>
    <row r="107" spans="1:13">
      <c r="A107" s="27" t="s">
        <v>34</v>
      </c>
      <c r="B107" s="63"/>
      <c r="C107" s="63"/>
      <c r="D107" s="80"/>
      <c r="E107" s="29">
        <f t="shared" si="1"/>
        <v>0</v>
      </c>
      <c r="F107" s="3"/>
      <c r="G107" s="27"/>
      <c r="H107" s="26"/>
      <c r="I107" s="26"/>
      <c r="J107" s="42"/>
      <c r="K107" s="24"/>
    </row>
    <row r="108" spans="1:13">
      <c r="A108" s="27" t="s">
        <v>178</v>
      </c>
      <c r="B108" s="63"/>
      <c r="C108" s="63"/>
      <c r="D108" s="80"/>
      <c r="E108" s="29">
        <f t="shared" si="1"/>
        <v>2352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72</v>
      </c>
      <c r="B109" s="63"/>
      <c r="C109" s="63"/>
      <c r="D109" s="80"/>
      <c r="E109" s="29">
        <f t="shared" si="1"/>
        <v>99</v>
      </c>
      <c r="F109" s="3"/>
      <c r="G109" s="28" t="s">
        <v>40</v>
      </c>
      <c r="H109" s="34"/>
      <c r="I109" s="304">
        <f>'CEF Abril 2020'!I122:J122</f>
        <v>20931.69000000001</v>
      </c>
      <c r="J109" s="305"/>
      <c r="K109" s="24"/>
    </row>
    <row r="110" spans="1:13">
      <c r="A110" s="27" t="s">
        <v>307</v>
      </c>
      <c r="B110" s="63"/>
      <c r="C110" s="63"/>
      <c r="D110" s="80"/>
      <c r="E110" s="29">
        <f t="shared" si="1"/>
        <v>0</v>
      </c>
      <c r="F110" s="3"/>
      <c r="G110" s="27" t="s">
        <v>396</v>
      </c>
      <c r="H110" s="41"/>
      <c r="I110" s="306">
        <v>21460.78</v>
      </c>
      <c r="J110" s="307"/>
      <c r="K110" s="24"/>
    </row>
    <row r="111" spans="1:13">
      <c r="A111" s="27" t="s">
        <v>120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06"/>
      <c r="J111" s="307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00">
        <f>-SUMIF($G$8:$G$68,G112,$D$8:$D$68)</f>
        <v>-20931.689999999999</v>
      </c>
      <c r="J112" s="301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02">
        <f>SUM(I109:J112)</f>
        <v>21460.78000000001</v>
      </c>
      <c r="J113" s="303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70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397</v>
      </c>
      <c r="H116" s="269"/>
      <c r="I116" s="291">
        <v>31181.279999999999</v>
      </c>
      <c r="J116" s="292"/>
      <c r="K116" s="24"/>
    </row>
    <row r="117" spans="1:11">
      <c r="A117" s="297" t="s">
        <v>22</v>
      </c>
      <c r="B117" s="298"/>
      <c r="C117" s="298"/>
      <c r="D117" s="81"/>
      <c r="E117" s="35">
        <f>SUM(E79:E115)</f>
        <v>486183.82999999996</v>
      </c>
      <c r="F117" s="3"/>
      <c r="G117" s="27"/>
      <c r="H117" s="269"/>
      <c r="I117" s="291"/>
      <c r="J117" s="292"/>
      <c r="K117" s="24"/>
    </row>
    <row r="118" spans="1:11">
      <c r="E118" s="46">
        <f>D69-E117</f>
        <v>0</v>
      </c>
      <c r="F118" s="3"/>
      <c r="G118" s="27"/>
      <c r="H118" s="41"/>
      <c r="I118" s="295"/>
      <c r="J118" s="296"/>
      <c r="K118" s="24"/>
    </row>
    <row r="119" spans="1:11">
      <c r="F119" s="3"/>
      <c r="G119" s="89" t="s">
        <v>18</v>
      </c>
      <c r="H119" s="88"/>
      <c r="I119" s="302">
        <f>SUM(I116:J118)</f>
        <v>31181.279999999999</v>
      </c>
      <c r="J119" s="303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4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I88:J88"/>
    <mergeCell ref="A76:K76"/>
    <mergeCell ref="A78:E78"/>
    <mergeCell ref="G78:J78"/>
    <mergeCell ref="I79:J79"/>
    <mergeCell ref="G80:H80"/>
    <mergeCell ref="I80:J80"/>
    <mergeCell ref="I81:J81"/>
    <mergeCell ref="I82:J82"/>
    <mergeCell ref="I83:J83"/>
    <mergeCell ref="I84:J84"/>
    <mergeCell ref="I87:J87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topLeftCell="A86"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166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145</v>
      </c>
      <c r="H10" s="7"/>
      <c r="I10" s="4"/>
      <c r="J10" s="19"/>
      <c r="K10" s="16"/>
    </row>
    <row r="11" spans="1:11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174</v>
      </c>
      <c r="H11" s="7" t="s">
        <v>180</v>
      </c>
      <c r="I11" s="4">
        <v>14</v>
      </c>
      <c r="J11" s="19">
        <v>1</v>
      </c>
      <c r="K11" s="16">
        <v>43262</v>
      </c>
    </row>
    <row r="12" spans="1:11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145</v>
      </c>
      <c r="H14" s="7"/>
      <c r="I14" s="4"/>
      <c r="J14" s="19"/>
      <c r="K14" s="16"/>
    </row>
    <row r="15" spans="1:11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176</v>
      </c>
      <c r="H15" s="7"/>
      <c r="I15" s="4"/>
      <c r="J15" s="19"/>
      <c r="K15" s="16"/>
    </row>
    <row r="16" spans="1:11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149</v>
      </c>
      <c r="H16" s="7"/>
      <c r="I16" s="4"/>
      <c r="J16" s="19"/>
      <c r="K16" s="16"/>
    </row>
    <row r="17" spans="1:11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176</v>
      </c>
      <c r="H17" s="7"/>
      <c r="I17" s="4"/>
      <c r="J17" s="19"/>
      <c r="K17" s="16"/>
    </row>
    <row r="18" spans="1:11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176</v>
      </c>
      <c r="H18" s="7"/>
      <c r="I18" s="4"/>
      <c r="J18" s="19"/>
      <c r="K18" s="16"/>
    </row>
    <row r="19" spans="1:11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147</v>
      </c>
      <c r="H20" s="7"/>
      <c r="I20" s="4"/>
      <c r="J20" s="19"/>
      <c r="K20" s="16"/>
    </row>
    <row r="21" spans="1:11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147</v>
      </c>
      <c r="H22" s="7"/>
      <c r="I22" s="4"/>
      <c r="J22" s="19"/>
      <c r="K22" s="16"/>
    </row>
    <row r="23" spans="1:11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>
      <c r="A24" s="15">
        <v>43287</v>
      </c>
      <c r="B24" s="4">
        <v>309379</v>
      </c>
      <c r="C24" s="4" t="s">
        <v>172</v>
      </c>
      <c r="D24" s="77">
        <v>87940.67</v>
      </c>
      <c r="E24" s="5"/>
      <c r="F24" s="6">
        <f t="shared" si="0"/>
        <v>-74623.139999999985</v>
      </c>
      <c r="G24" s="9" t="s">
        <v>148</v>
      </c>
      <c r="H24" s="7"/>
      <c r="I24" s="4"/>
      <c r="J24" s="19"/>
      <c r="K24" s="16"/>
    </row>
    <row r="25" spans="1:11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145</v>
      </c>
      <c r="H25" s="7"/>
      <c r="I25" s="4"/>
      <c r="J25" s="19"/>
      <c r="K25" s="16"/>
    </row>
    <row r="26" spans="1:11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148</v>
      </c>
      <c r="H26" s="7" t="s">
        <v>156</v>
      </c>
      <c r="I26" s="4"/>
      <c r="J26" s="19"/>
      <c r="K26" s="16"/>
    </row>
    <row r="27" spans="1:11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145</v>
      </c>
      <c r="H28" s="7"/>
      <c r="I28" s="4"/>
      <c r="J28" s="19"/>
      <c r="K28" s="16"/>
    </row>
    <row r="29" spans="1:11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146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145</v>
      </c>
      <c r="H30" s="7"/>
      <c r="I30" s="4"/>
      <c r="J30" s="19"/>
      <c r="K30" s="16"/>
    </row>
    <row r="31" spans="1:11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146</v>
      </c>
      <c r="H33" s="7" t="s">
        <v>128</v>
      </c>
      <c r="I33" s="4">
        <v>13</v>
      </c>
      <c r="J33" s="19">
        <v>4</v>
      </c>
      <c r="K33" s="16">
        <v>43291</v>
      </c>
    </row>
    <row r="34" spans="1:11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146</v>
      </c>
      <c r="H34" s="7" t="s">
        <v>119</v>
      </c>
      <c r="I34" s="4">
        <v>6</v>
      </c>
      <c r="J34" s="19">
        <v>4</v>
      </c>
      <c r="K34" s="16">
        <v>43292</v>
      </c>
    </row>
    <row r="35" spans="1:11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146</v>
      </c>
      <c r="H36" s="7" t="s">
        <v>61</v>
      </c>
      <c r="I36" s="4">
        <v>9</v>
      </c>
      <c r="J36" s="19">
        <v>4</v>
      </c>
      <c r="K36" s="16">
        <v>43292</v>
      </c>
    </row>
    <row r="37" spans="1:11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146</v>
      </c>
      <c r="H37" s="7" t="s">
        <v>127</v>
      </c>
      <c r="I37" s="4">
        <v>45</v>
      </c>
      <c r="J37" s="19">
        <v>4</v>
      </c>
      <c r="K37" s="16">
        <v>43293</v>
      </c>
    </row>
    <row r="38" spans="1:11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>
      <c r="A41" s="15">
        <v>43299</v>
      </c>
      <c r="B41" s="4">
        <v>207321</v>
      </c>
      <c r="C41" s="4" t="s">
        <v>173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182</v>
      </c>
      <c r="I41" s="4">
        <v>316</v>
      </c>
      <c r="J41" s="19">
        <v>1</v>
      </c>
      <c r="K41" s="16">
        <v>43283</v>
      </c>
    </row>
    <row r="42" spans="1:11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145</v>
      </c>
      <c r="H42" s="7"/>
      <c r="I42" s="4"/>
      <c r="J42" s="19"/>
      <c r="K42" s="16"/>
    </row>
    <row r="43" spans="1:11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145</v>
      </c>
      <c r="H43" s="7"/>
      <c r="I43" s="4"/>
      <c r="J43" s="19"/>
      <c r="K43" s="16"/>
    </row>
    <row r="44" spans="1:11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160</v>
      </c>
      <c r="I44" s="4">
        <v>1</v>
      </c>
      <c r="J44" s="19">
        <v>1</v>
      </c>
      <c r="K44" s="16"/>
    </row>
    <row r="45" spans="1:11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150</v>
      </c>
      <c r="H48" s="7" t="s">
        <v>161</v>
      </c>
      <c r="I48" s="4">
        <v>1</v>
      </c>
      <c r="J48" s="19">
        <v>1</v>
      </c>
      <c r="K48" s="16"/>
    </row>
    <row r="49" spans="1:11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148</v>
      </c>
      <c r="H49" s="7" t="s">
        <v>98</v>
      </c>
      <c r="I49" s="4"/>
      <c r="J49" s="19"/>
      <c r="K49" s="16"/>
    </row>
    <row r="50" spans="1:11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178</v>
      </c>
      <c r="H50" s="7" t="s">
        <v>183</v>
      </c>
      <c r="I50" s="4">
        <v>1</v>
      </c>
      <c r="J50" s="19">
        <v>1</v>
      </c>
      <c r="K50" s="16">
        <v>43297</v>
      </c>
    </row>
    <row r="51" spans="1:11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145</v>
      </c>
      <c r="H51" s="7"/>
      <c r="I51" s="4"/>
      <c r="J51" s="19"/>
      <c r="K51" s="16"/>
    </row>
    <row r="52" spans="1:11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178</v>
      </c>
      <c r="H54" s="7" t="s">
        <v>180</v>
      </c>
      <c r="I54" s="4">
        <v>16</v>
      </c>
      <c r="J54" s="19">
        <v>2</v>
      </c>
      <c r="K54" s="16">
        <v>43293</v>
      </c>
    </row>
    <row r="55" spans="1:11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145</v>
      </c>
      <c r="H55" s="7"/>
      <c r="I55" s="4"/>
      <c r="J55" s="19"/>
      <c r="K55" s="16"/>
    </row>
    <row r="56" spans="1:11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145</v>
      </c>
      <c r="H58" s="7"/>
      <c r="I58" s="4"/>
      <c r="J58" s="19"/>
      <c r="K58" s="16"/>
    </row>
    <row r="59" spans="1:11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176</v>
      </c>
      <c r="H59" s="7"/>
      <c r="I59" s="4"/>
      <c r="J59" s="19"/>
      <c r="K59" s="16"/>
    </row>
    <row r="60" spans="1:11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174</v>
      </c>
      <c r="H60" s="7" t="s">
        <v>184</v>
      </c>
      <c r="I60" s="4">
        <v>1</v>
      </c>
      <c r="J60" s="19">
        <v>1</v>
      </c>
      <c r="K60" s="16">
        <v>43293</v>
      </c>
    </row>
    <row r="61" spans="1:11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179</v>
      </c>
      <c r="H61" s="7" t="s">
        <v>155</v>
      </c>
      <c r="I61" s="4"/>
      <c r="J61" s="19"/>
      <c r="K61" s="16"/>
    </row>
    <row r="62" spans="1:11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145</v>
      </c>
      <c r="H62" s="7"/>
      <c r="I62" s="4"/>
      <c r="J62" s="19"/>
      <c r="K62" s="16"/>
    </row>
    <row r="63" spans="1:11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151</v>
      </c>
      <c r="H64" s="7"/>
      <c r="I64" s="4"/>
      <c r="J64" s="19"/>
      <c r="K64" s="16"/>
    </row>
    <row r="65" spans="1:11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>
      <c r="A66" s="324" t="s">
        <v>12</v>
      </c>
      <c r="B66" s="325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>
      <c r="A71" s="299" t="s">
        <v>123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1:11" ht="18" customHeight="1"/>
    <row r="73" spans="1:11" ht="18" customHeight="1">
      <c r="A73" s="318" t="s">
        <v>167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pans="1:11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>
      <c r="A75" s="319" t="s">
        <v>21</v>
      </c>
      <c r="B75" s="320"/>
      <c r="C75" s="320"/>
      <c r="D75" s="320"/>
      <c r="E75" s="321"/>
      <c r="F75" s="3"/>
      <c r="G75" s="322" t="s">
        <v>20</v>
      </c>
      <c r="H75" s="322"/>
      <c r="I75" s="322"/>
      <c r="J75" s="322"/>
      <c r="K75" s="24"/>
    </row>
    <row r="76" spans="1:11">
      <c r="A76" s="28" t="s">
        <v>149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147</v>
      </c>
      <c r="H76" s="26"/>
      <c r="I76" s="306">
        <f>SUMIF($G$8:$G$65,G76,$E$8:$E$65)</f>
        <v>249997.75</v>
      </c>
      <c r="J76" s="307"/>
      <c r="K76" s="24"/>
    </row>
    <row r="77" spans="1:11">
      <c r="A77" s="62" t="s">
        <v>174</v>
      </c>
      <c r="B77" s="63"/>
      <c r="C77" s="63"/>
      <c r="D77" s="80"/>
      <c r="E77" s="29">
        <f t="shared" si="2"/>
        <v>4842.67</v>
      </c>
      <c r="F77" s="3"/>
      <c r="G77" s="316" t="s">
        <v>145</v>
      </c>
      <c r="H77" s="317"/>
      <c r="I77" s="306">
        <f>SUMIF($G$8:$G$65,G77,$E$8:$E$65)</f>
        <v>215121.54</v>
      </c>
      <c r="J77" s="307"/>
      <c r="K77" s="24"/>
    </row>
    <row r="78" spans="1:11">
      <c r="A78" s="27" t="s">
        <v>177</v>
      </c>
      <c r="B78" s="63"/>
      <c r="C78" s="63"/>
      <c r="D78" s="80"/>
      <c r="E78" s="29">
        <f t="shared" si="2"/>
        <v>1173.02</v>
      </c>
      <c r="F78" s="3"/>
      <c r="G78" s="316" t="s">
        <v>121</v>
      </c>
      <c r="H78" s="317"/>
      <c r="I78" s="306">
        <f>SUMIF($G$8:$G$65,G78,$E$8:$E$65)</f>
        <v>0</v>
      </c>
      <c r="J78" s="307"/>
      <c r="K78" s="24"/>
    </row>
    <row r="79" spans="1:11">
      <c r="A79" s="27" t="s">
        <v>175</v>
      </c>
      <c r="B79" s="63"/>
      <c r="C79" s="63"/>
      <c r="D79" s="80"/>
      <c r="E79" s="29">
        <f t="shared" si="2"/>
        <v>10900</v>
      </c>
      <c r="F79" s="3"/>
      <c r="G79" s="316" t="s">
        <v>137</v>
      </c>
      <c r="H79" s="317"/>
      <c r="I79" s="306">
        <f>SUMIF($G$8:$G$65,G79,$E$8:$E$65)</f>
        <v>0</v>
      </c>
      <c r="J79" s="307"/>
      <c r="K79" s="24"/>
    </row>
    <row r="80" spans="1:11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306">
        <f>SUMIF($G$8:$G$65,G80,$E$8:$E$65)</f>
        <v>0</v>
      </c>
      <c r="J80" s="307"/>
      <c r="K80" s="24"/>
    </row>
    <row r="81" spans="1:11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302">
        <f>SUM(I76:J80)</f>
        <v>465119.29000000004</v>
      </c>
      <c r="J81" s="303"/>
      <c r="K81" s="61">
        <f>E66-I81</f>
        <v>0</v>
      </c>
    </row>
    <row r="82" spans="1:11">
      <c r="A82" s="27" t="s">
        <v>148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>
      <c r="A84" s="27" t="s">
        <v>31</v>
      </c>
      <c r="B84" s="63"/>
      <c r="C84" s="63"/>
      <c r="D84" s="80"/>
      <c r="E84" s="29">
        <f t="shared" si="2"/>
        <v>3567.37</v>
      </c>
      <c r="F84" s="3"/>
      <c r="G84" s="103" t="s">
        <v>19</v>
      </c>
      <c r="H84" s="104"/>
      <c r="I84" s="306">
        <f>'CEF Junho 2018'!I111:J111</f>
        <v>140404.13</v>
      </c>
      <c r="J84" s="307"/>
    </row>
    <row r="85" spans="1:11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149</v>
      </c>
      <c r="H85" s="104"/>
      <c r="I85" s="306">
        <f>SUMIF($G$8:$G$65,G85,$D$8:$D$65)</f>
        <v>200000</v>
      </c>
      <c r="J85" s="307"/>
    </row>
    <row r="86" spans="1:11">
      <c r="A86" s="27" t="s">
        <v>150</v>
      </c>
      <c r="B86" s="63"/>
      <c r="C86" s="63"/>
      <c r="D86" s="80"/>
      <c r="E86" s="29">
        <f t="shared" si="2"/>
        <v>505.4</v>
      </c>
      <c r="F86" s="3"/>
      <c r="G86" s="316" t="s">
        <v>145</v>
      </c>
      <c r="H86" s="317"/>
      <c r="I86" s="306">
        <f>-SUMIF($G$8:$G$65,G86,$E$8:$E$65)</f>
        <v>-215121.54</v>
      </c>
      <c r="J86" s="307"/>
    </row>
    <row r="87" spans="1:11">
      <c r="A87" s="27" t="s">
        <v>151</v>
      </c>
      <c r="B87" s="63"/>
      <c r="C87" s="63"/>
      <c r="D87" s="80"/>
      <c r="E87" s="29">
        <f t="shared" si="2"/>
        <v>7846.5</v>
      </c>
      <c r="F87" s="3"/>
      <c r="G87" s="103" t="s">
        <v>30</v>
      </c>
      <c r="H87" s="104"/>
      <c r="I87" s="306">
        <v>793.38</v>
      </c>
      <c r="J87" s="307"/>
    </row>
    <row r="88" spans="1:11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314"/>
      <c r="J88" s="315"/>
    </row>
    <row r="89" spans="1:11">
      <c r="A89" s="27" t="s">
        <v>176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310">
        <f>SUM(I84:J87)</f>
        <v>126075.97</v>
      </c>
      <c r="J89" s="311"/>
    </row>
    <row r="90" spans="1:11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105"/>
      <c r="K90" s="24"/>
    </row>
    <row r="91" spans="1:11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312"/>
      <c r="J91" s="313"/>
      <c r="K91" s="24"/>
    </row>
    <row r="92" spans="1:11">
      <c r="A92" s="27" t="s">
        <v>179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304">
        <v>0</v>
      </c>
      <c r="J92" s="305"/>
      <c r="K92" s="24"/>
    </row>
    <row r="93" spans="1:11">
      <c r="A93" s="27" t="s">
        <v>146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104"/>
      <c r="I93" s="306">
        <f>SUMIF($G$8:$G$65,G93,$E$8:$E$65)</f>
        <v>0</v>
      </c>
      <c r="J93" s="307"/>
      <c r="K93" s="24"/>
    </row>
    <row r="94" spans="1:11">
      <c r="A94" s="27" t="s">
        <v>34</v>
      </c>
      <c r="B94" s="63"/>
      <c r="C94" s="63"/>
      <c r="D94" s="80"/>
      <c r="E94" s="29">
        <f t="shared" si="2"/>
        <v>2400</v>
      </c>
      <c r="F94" s="3"/>
      <c r="G94" s="103" t="s">
        <v>14</v>
      </c>
      <c r="H94" s="104"/>
      <c r="I94" s="306">
        <f>-SUMIF($G$8:$G$65,G94,$D$8:$D$65)</f>
        <v>0</v>
      </c>
      <c r="J94" s="307"/>
      <c r="K94" s="24"/>
    </row>
    <row r="95" spans="1:11">
      <c r="A95" s="62" t="s">
        <v>178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314"/>
      <c r="J95" s="315"/>
      <c r="K95" s="24"/>
    </row>
    <row r="96" spans="1:11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302">
        <f>SUM(I92:J95)</f>
        <v>0</v>
      </c>
      <c r="J96" s="303"/>
      <c r="K96" s="24"/>
    </row>
    <row r="97" spans="1:13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105"/>
      <c r="K97" s="24"/>
    </row>
    <row r="98" spans="1:13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103" t="s">
        <v>19</v>
      </c>
      <c r="H99" s="104"/>
      <c r="I99" s="308">
        <f>'CEF Maio 2018'!I142:J142</f>
        <v>0</v>
      </c>
      <c r="J99" s="309"/>
      <c r="K99" s="24"/>
    </row>
    <row r="100" spans="1:13">
      <c r="A100" s="27"/>
      <c r="B100" s="63"/>
      <c r="C100" s="63"/>
      <c r="D100" s="80"/>
      <c r="E100" s="29">
        <f t="shared" si="3"/>
        <v>0</v>
      </c>
      <c r="F100" s="3"/>
      <c r="G100" s="103" t="s">
        <v>42</v>
      </c>
      <c r="H100" s="104"/>
      <c r="I100" s="291">
        <v>249997.75</v>
      </c>
      <c r="J100" s="292"/>
      <c r="K100" s="24"/>
    </row>
    <row r="101" spans="1:13">
      <c r="A101" s="27"/>
      <c r="B101" s="63"/>
      <c r="C101" s="63"/>
      <c r="D101" s="80"/>
      <c r="E101" s="29">
        <f t="shared" si="3"/>
        <v>0</v>
      </c>
      <c r="F101" s="3"/>
      <c r="G101" s="103" t="s">
        <v>147</v>
      </c>
      <c r="H101" s="104"/>
      <c r="I101" s="306">
        <f>-SUMIF($G$8:$G$65,G101,$E$8:$E$65)</f>
        <v>-249997.75</v>
      </c>
      <c r="J101" s="307"/>
      <c r="K101" s="24"/>
    </row>
    <row r="102" spans="1:13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300"/>
      <c r="J102" s="301"/>
      <c r="K102" s="24"/>
    </row>
    <row r="103" spans="1:13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310">
        <f>SUM(I99:J102)</f>
        <v>0</v>
      </c>
      <c r="J103" s="311"/>
      <c r="K103" s="24"/>
      <c r="M103" s="39"/>
    </row>
    <row r="104" spans="1:13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304">
        <f>'CEF Junho 2018'!I132:J132</f>
        <v>53667.93</v>
      </c>
      <c r="J106" s="305"/>
      <c r="K106" s="24"/>
    </row>
    <row r="107" spans="1:13">
      <c r="A107" s="27"/>
      <c r="B107" s="63"/>
      <c r="C107" s="63"/>
      <c r="D107" s="80"/>
      <c r="E107" s="29">
        <f t="shared" si="3"/>
        <v>0</v>
      </c>
      <c r="F107" s="3"/>
      <c r="G107" s="27" t="s">
        <v>185</v>
      </c>
      <c r="H107" s="41"/>
      <c r="I107" s="306">
        <v>16968.82</v>
      </c>
      <c r="J107" s="307"/>
      <c r="K107" s="24"/>
    </row>
    <row r="108" spans="1:13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306"/>
      <c r="J108" s="307"/>
      <c r="K108" s="24"/>
    </row>
    <row r="109" spans="1:13">
      <c r="A109" s="27"/>
      <c r="B109" s="63"/>
      <c r="C109" s="63"/>
      <c r="D109" s="80"/>
      <c r="E109" s="29">
        <f t="shared" si="3"/>
        <v>0</v>
      </c>
      <c r="F109" s="3"/>
      <c r="G109" s="59" t="s">
        <v>176</v>
      </c>
      <c r="H109" s="60"/>
      <c r="I109" s="300">
        <f>-SUMIF($G$8:$G$65,G109,$D$8:$D$65)</f>
        <v>-53667.93</v>
      </c>
      <c r="J109" s="301"/>
      <c r="K109" s="24"/>
    </row>
    <row r="110" spans="1:13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302">
        <f>SUM(I106:J109)</f>
        <v>16968.82</v>
      </c>
      <c r="J110" s="303"/>
      <c r="K110" s="24"/>
    </row>
    <row r="111" spans="1:13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105"/>
      <c r="K111" s="24"/>
    </row>
    <row r="112" spans="1:13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>
      <c r="A113" s="30"/>
      <c r="B113" s="85"/>
      <c r="C113" s="85"/>
      <c r="D113" s="86"/>
      <c r="E113" s="87"/>
      <c r="F113" s="3"/>
      <c r="G113" s="103" t="s">
        <v>140</v>
      </c>
      <c r="H113" s="104"/>
      <c r="I113" s="291">
        <f>'CEF Junho 2018'!I139:J139</f>
        <v>57586.930000000008</v>
      </c>
      <c r="J113" s="292"/>
      <c r="K113" s="24"/>
    </row>
    <row r="114" spans="1:11">
      <c r="A114" s="297" t="s">
        <v>22</v>
      </c>
      <c r="B114" s="298"/>
      <c r="C114" s="298"/>
      <c r="D114" s="81"/>
      <c r="E114" s="35">
        <f>SUM(E76:E112)</f>
        <v>465119.29</v>
      </c>
      <c r="F114" s="3"/>
      <c r="G114" s="27" t="s">
        <v>186</v>
      </c>
      <c r="H114" s="104"/>
      <c r="I114" s="291"/>
      <c r="J114" s="292"/>
      <c r="K114" s="24"/>
    </row>
    <row r="115" spans="1:11">
      <c r="F115" s="3"/>
      <c r="G115" s="103"/>
      <c r="H115" s="104"/>
      <c r="I115" s="291"/>
      <c r="J115" s="292"/>
      <c r="K115" s="24"/>
    </row>
    <row r="116" spans="1:11">
      <c r="E116" s="46">
        <f>D66-E114</f>
        <v>0</v>
      </c>
      <c r="F116" s="3"/>
      <c r="G116" s="27"/>
      <c r="H116" s="41"/>
      <c r="I116" s="295"/>
      <c r="J116" s="296"/>
      <c r="K116" s="24"/>
    </row>
    <row r="117" spans="1:11">
      <c r="F117" s="3"/>
      <c r="G117" s="89" t="s">
        <v>18</v>
      </c>
      <c r="H117" s="88"/>
      <c r="I117" s="302">
        <f>SUM(I113:J116)</f>
        <v>57586.930000000008</v>
      </c>
      <c r="J117" s="303"/>
      <c r="K117" s="24"/>
    </row>
    <row r="118" spans="1:11">
      <c r="A118" s="27"/>
      <c r="B118" s="63"/>
      <c r="C118" s="63"/>
      <c r="D118" s="80"/>
      <c r="K118" s="24"/>
    </row>
    <row r="119" spans="1:11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>
      <c r="D120" s="72"/>
      <c r="F120" s="3"/>
      <c r="G120" s="45"/>
      <c r="H120" s="45"/>
      <c r="I120" s="69"/>
      <c r="J120" s="69"/>
      <c r="K120" s="24"/>
    </row>
    <row r="122" spans="1:11">
      <c r="E122" s="46"/>
    </row>
    <row r="123" spans="1:11">
      <c r="E123" s="46"/>
    </row>
    <row r="126" spans="1:11">
      <c r="E126" s="46"/>
    </row>
  </sheetData>
  <sortState ref="A76:E98">
    <sortCondition ref="A98"/>
  </sortState>
  <mergeCells count="47">
    <mergeCell ref="A114:C114"/>
    <mergeCell ref="I114:J114"/>
    <mergeCell ref="I115:J115"/>
    <mergeCell ref="I116:J116"/>
    <mergeCell ref="I117:J117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A71:K71"/>
    <mergeCell ref="A2:K2"/>
    <mergeCell ref="A4:K4"/>
    <mergeCell ref="A6:F6"/>
    <mergeCell ref="G6:K6"/>
    <mergeCell ref="A66:B6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topLeftCell="A34" workbookViewId="0">
      <selection activeCell="I65" sqref="I65:J6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10" ht="15.75" thickBot="1"/>
    <row r="2" spans="1:10" ht="15.75" thickBot="1">
      <c r="A2" s="184" t="s">
        <v>251</v>
      </c>
      <c r="B2" s="250">
        <v>347091.20000000001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843.19</v>
      </c>
      <c r="C4" s="41"/>
      <c r="D4" s="144"/>
      <c r="E4" s="41"/>
      <c r="F4" s="41"/>
    </row>
    <row r="5" spans="1:10" ht="15.75" thickBot="1">
      <c r="A5" s="177"/>
      <c r="B5" s="256">
        <v>1207.45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642534.78999999992</v>
      </c>
      <c r="C7" s="165"/>
      <c r="D7" s="144"/>
      <c r="E7" s="185"/>
      <c r="F7" s="41"/>
    </row>
    <row r="8" spans="1:10" ht="15.75" thickBot="1"/>
    <row r="9" spans="1:10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  <c r="J9" s="209" t="s">
        <v>399</v>
      </c>
    </row>
    <row r="10" spans="1:10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10" ht="24.95" customHeight="1" thickBot="1">
      <c r="A11" s="118" t="s">
        <v>211</v>
      </c>
      <c r="B11" s="257">
        <v>145793.25</v>
      </c>
      <c r="C11" s="258">
        <f>11327.62+18555.84+70002.54+10720.58+3937.46+441.6+649.01+589.39+58.2</f>
        <v>116282.24000000001</v>
      </c>
      <c r="D11" s="115"/>
      <c r="E11" s="260">
        <f t="shared" ref="E11:E27" si="0">C11+D11</f>
        <v>116282.24000000001</v>
      </c>
      <c r="F11" s="261">
        <f>11327.62+82111.16+37991.45+337865.08+7226.56+1005.92+4907.44+136.68</f>
        <v>482571.91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113460</v>
      </c>
      <c r="C17" s="258">
        <f>103531.1+2352+2877.12+928.1+1894.68</f>
        <v>111583</v>
      </c>
      <c r="D17" s="115"/>
      <c r="E17" s="260">
        <f t="shared" si="0"/>
        <v>111583</v>
      </c>
      <c r="F17" s="261">
        <f>2778.84+1741.66+113460</f>
        <v>117980.5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21460.78</v>
      </c>
      <c r="C26" s="259">
        <v>20931.689999999999</v>
      </c>
      <c r="D26" s="111"/>
      <c r="E26" s="260">
        <f>C26+D26</f>
        <v>20931.689999999999</v>
      </c>
      <c r="F26" s="262">
        <v>21460.78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280813.03000000003</v>
      </c>
      <c r="C28" s="152">
        <f>SUM(C11:C27)</f>
        <v>248796.93</v>
      </c>
      <c r="D28" s="152">
        <f>SUM(D11:D27)</f>
        <v>99</v>
      </c>
      <c r="E28" s="152">
        <f>SUM(E11:E27)</f>
        <v>248895.93</v>
      </c>
      <c r="F28" s="152">
        <f>SUM(F11:F27)</f>
        <v>622013.18999999994</v>
      </c>
      <c r="H28" s="244">
        <f>3499156.96-2877143.77</f>
        <v>622013.18999999994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213000</v>
      </c>
    </row>
    <row r="33" spans="1:5">
      <c r="A33" s="222" t="s">
        <v>368</v>
      </c>
      <c r="B33" s="266"/>
      <c r="C33" s="266"/>
      <c r="D33" s="182">
        <v>0</v>
      </c>
    </row>
    <row r="34" spans="1:5">
      <c r="A34" s="4" t="s">
        <v>174</v>
      </c>
      <c r="B34" s="266"/>
      <c r="C34" s="266"/>
      <c r="D34" s="182">
        <v>103531.09999999999</v>
      </c>
      <c r="E34" s="209" t="s">
        <v>193</v>
      </c>
    </row>
    <row r="35" spans="1:5">
      <c r="A35" s="4" t="s">
        <v>177</v>
      </c>
      <c r="B35" s="266"/>
      <c r="C35" s="266"/>
      <c r="D35" s="182">
        <v>0</v>
      </c>
    </row>
    <row r="36" spans="1:5">
      <c r="A36" s="4" t="s">
        <v>255</v>
      </c>
      <c r="B36" s="266"/>
      <c r="C36" s="266"/>
      <c r="D36" s="182">
        <v>0</v>
      </c>
    </row>
    <row r="37" spans="1:5">
      <c r="A37" s="4" t="s">
        <v>175</v>
      </c>
      <c r="B37" s="266"/>
      <c r="C37" s="266"/>
      <c r="D37" s="182">
        <v>11327.62</v>
      </c>
      <c r="E37" s="209" t="s">
        <v>193</v>
      </c>
    </row>
    <row r="38" spans="1:5">
      <c r="A38" s="4" t="s">
        <v>271</v>
      </c>
      <c r="B38" s="266"/>
      <c r="C38" s="266"/>
      <c r="D38" s="182">
        <v>18555.840000000004</v>
      </c>
      <c r="E38" s="209" t="s">
        <v>193</v>
      </c>
    </row>
    <row r="39" spans="1:5">
      <c r="A39" s="4" t="s">
        <v>25</v>
      </c>
      <c r="B39" s="266"/>
      <c r="C39" s="266"/>
      <c r="D39" s="182">
        <v>0</v>
      </c>
    </row>
    <row r="40" spans="1:5">
      <c r="A40" s="4" t="s">
        <v>270</v>
      </c>
      <c r="B40" s="266"/>
      <c r="C40" s="266"/>
      <c r="D40" s="182">
        <v>70002.540000000008</v>
      </c>
      <c r="E40" s="209" t="s">
        <v>193</v>
      </c>
    </row>
    <row r="41" spans="1:5">
      <c r="A41" s="4" t="s">
        <v>219</v>
      </c>
      <c r="B41" s="266"/>
      <c r="C41" s="266"/>
      <c r="D41" s="182">
        <v>0</v>
      </c>
    </row>
    <row r="42" spans="1:5">
      <c r="A42" s="4" t="s">
        <v>29</v>
      </c>
      <c r="B42" s="266"/>
      <c r="C42" s="266"/>
      <c r="D42" s="182">
        <v>10720.58</v>
      </c>
      <c r="E42" s="209" t="s">
        <v>193</v>
      </c>
    </row>
    <row r="43" spans="1:5">
      <c r="A43" s="4" t="s">
        <v>282</v>
      </c>
      <c r="B43" s="266"/>
      <c r="C43" s="266"/>
      <c r="D43" s="182">
        <v>3937.46</v>
      </c>
      <c r="E43" s="209" t="s">
        <v>193</v>
      </c>
    </row>
    <row r="44" spans="1:5">
      <c r="A44" s="4" t="s">
        <v>273</v>
      </c>
      <c r="B44" s="266"/>
      <c r="C44" s="266"/>
      <c r="D44" s="182">
        <v>928.1</v>
      </c>
      <c r="E44" s="209" t="s">
        <v>193</v>
      </c>
    </row>
    <row r="45" spans="1:5">
      <c r="A45" s="4" t="s">
        <v>218</v>
      </c>
      <c r="B45" s="266"/>
      <c r="C45" s="266"/>
      <c r="D45" s="182">
        <v>1894.68</v>
      </c>
      <c r="E45" s="209" t="s">
        <v>193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5">
      <c r="A49" s="4" t="s">
        <v>150</v>
      </c>
      <c r="B49" s="266"/>
      <c r="C49" s="266"/>
      <c r="D49" s="182">
        <v>441.6</v>
      </c>
      <c r="E49" s="209" t="s">
        <v>193</v>
      </c>
    </row>
    <row r="50" spans="1:5">
      <c r="A50" s="4" t="s">
        <v>220</v>
      </c>
      <c r="B50" s="266"/>
      <c r="C50" s="266"/>
      <c r="D50" s="182"/>
      <c r="E50" s="182">
        <f>24286.95+0.35</f>
        <v>24287.3</v>
      </c>
    </row>
    <row r="51" spans="1:5">
      <c r="A51" s="4" t="s">
        <v>151</v>
      </c>
      <c r="B51" s="266"/>
      <c r="C51" s="266"/>
      <c r="D51" s="182">
        <v>649.01</v>
      </c>
    </row>
    <row r="52" spans="1:5">
      <c r="A52" s="4" t="s">
        <v>49</v>
      </c>
      <c r="B52" s="266"/>
      <c r="C52" s="266"/>
      <c r="D52" s="182">
        <v>0</v>
      </c>
    </row>
    <row r="53" spans="1:5">
      <c r="A53" s="4" t="s">
        <v>176</v>
      </c>
      <c r="B53" s="266"/>
      <c r="C53" s="266"/>
      <c r="D53" s="182">
        <v>20931.689999999999</v>
      </c>
    </row>
    <row r="54" spans="1:5">
      <c r="A54" s="4" t="s">
        <v>272</v>
      </c>
      <c r="B54" s="266"/>
      <c r="C54" s="266"/>
      <c r="D54" s="182">
        <v>589.39</v>
      </c>
    </row>
    <row r="55" spans="1:5">
      <c r="A55" s="4" t="s">
        <v>43</v>
      </c>
      <c r="B55" s="266"/>
      <c r="C55" s="266"/>
      <c r="D55" s="182">
        <v>2877.12</v>
      </c>
    </row>
    <row r="56" spans="1:5">
      <c r="A56" s="4" t="s">
        <v>274</v>
      </c>
      <c r="B56" s="266"/>
      <c r="C56" s="266"/>
      <c r="D56" s="182">
        <v>58.2</v>
      </c>
    </row>
    <row r="57" spans="1:5">
      <c r="A57" s="4" t="s">
        <v>179</v>
      </c>
      <c r="B57" s="266"/>
      <c r="C57" s="266"/>
      <c r="D57" s="182">
        <v>0</v>
      </c>
    </row>
    <row r="58" spans="1:5">
      <c r="A58" s="4" t="s">
        <v>146</v>
      </c>
      <c r="B58" s="266"/>
      <c r="C58" s="266"/>
      <c r="D58" s="182">
        <v>0</v>
      </c>
    </row>
    <row r="59" spans="1:5">
      <c r="A59" s="4" t="s">
        <v>34</v>
      </c>
      <c r="B59" s="266"/>
      <c r="C59" s="266"/>
      <c r="D59" s="182">
        <v>0</v>
      </c>
    </row>
    <row r="60" spans="1:5">
      <c r="A60" s="4" t="s">
        <v>178</v>
      </c>
      <c r="B60" s="266"/>
      <c r="C60" s="266"/>
      <c r="D60" s="182">
        <v>2352</v>
      </c>
    </row>
    <row r="61" spans="1:5">
      <c r="A61" s="4" t="s">
        <v>72</v>
      </c>
      <c r="B61" s="266"/>
      <c r="C61" s="266"/>
      <c r="D61" s="182">
        <v>99</v>
      </c>
    </row>
    <row r="62" spans="1:5">
      <c r="A62" s="4" t="s">
        <v>307</v>
      </c>
      <c r="B62" s="266"/>
      <c r="C62" s="266"/>
      <c r="D62" s="182">
        <v>0</v>
      </c>
    </row>
    <row r="63" spans="1:5">
      <c r="A63" s="4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35" t="s">
        <v>194</v>
      </c>
      <c r="B65" s="336"/>
      <c r="C65" s="294"/>
      <c r="D65" s="267">
        <f>SUM(D31:D63)</f>
        <v>248895.93000000002</v>
      </c>
      <c r="E65" s="267">
        <f>SUM(E31:E63)</f>
        <v>237287.3</v>
      </c>
      <c r="F65" s="46">
        <f>D65+E65</f>
        <v>486183.23</v>
      </c>
    </row>
    <row r="66" spans="1:6">
      <c r="F66" s="46">
        <f>F65-'CEF Maio 2020'!E117</f>
        <v>-0.59999999997671694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642534.78999999992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248895.92999999993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393638.86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393638.86</v>
      </c>
      <c r="C72" s="92"/>
      <c r="D72" s="92"/>
      <c r="E72" s="46"/>
    </row>
    <row r="75" spans="1:6">
      <c r="E75" s="46"/>
    </row>
    <row r="77" spans="1:6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workbookViewId="0">
      <selection activeCell="I65" sqref="I65:J65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2020'!F69</f>
        <v>-0.59999999991850927</v>
      </c>
      <c r="G9" s="9"/>
      <c r="H9" s="7"/>
      <c r="I9" s="4"/>
      <c r="J9" s="19"/>
      <c r="K9" s="16"/>
    </row>
    <row r="10" spans="1:11">
      <c r="A10" s="15">
        <v>43983</v>
      </c>
      <c r="B10" s="4">
        <v>727220</v>
      </c>
      <c r="C10" s="4" t="s">
        <v>60</v>
      </c>
      <c r="D10" s="77"/>
      <c r="E10" s="77">
        <v>2238.7600000000002</v>
      </c>
      <c r="F10" s="6">
        <f t="shared" ref="F10:F60" si="0">F9-D10+E10</f>
        <v>2238.1600000000817</v>
      </c>
      <c r="G10" s="9" t="s">
        <v>145</v>
      </c>
      <c r="H10" s="7"/>
      <c r="I10" s="4"/>
      <c r="J10" s="19"/>
      <c r="K10" s="16"/>
    </row>
    <row r="11" spans="1:11">
      <c r="A11" s="15">
        <v>43983</v>
      </c>
      <c r="B11" s="4">
        <v>300442</v>
      </c>
      <c r="C11" s="4" t="s">
        <v>57</v>
      </c>
      <c r="D11" s="77">
        <v>2238.16</v>
      </c>
      <c r="E11" s="5"/>
      <c r="F11" s="6">
        <f t="shared" si="0"/>
        <v>8.1854523159563541E-11</v>
      </c>
      <c r="G11" s="9" t="s">
        <v>271</v>
      </c>
      <c r="H11" s="7" t="s">
        <v>104</v>
      </c>
      <c r="I11" s="4"/>
      <c r="J11" s="19"/>
      <c r="K11" s="16"/>
    </row>
    <row r="12" spans="1:11">
      <c r="A12" s="15">
        <v>43983</v>
      </c>
      <c r="B12" s="4">
        <v>1920</v>
      </c>
      <c r="C12" s="4" t="s">
        <v>401</v>
      </c>
      <c r="D12" s="77"/>
      <c r="E12" s="77">
        <v>0.6</v>
      </c>
      <c r="F12" s="6">
        <f t="shared" si="0"/>
        <v>0.6000000000818545</v>
      </c>
      <c r="G12" s="62" t="s">
        <v>232</v>
      </c>
      <c r="H12" s="7"/>
      <c r="I12" s="4"/>
      <c r="J12" s="19"/>
      <c r="K12" s="16"/>
    </row>
    <row r="13" spans="1:11">
      <c r="A13" s="15">
        <v>43984</v>
      </c>
      <c r="B13" s="4">
        <v>727220</v>
      </c>
      <c r="C13" s="4" t="s">
        <v>60</v>
      </c>
      <c r="D13" s="77"/>
      <c r="E13" s="77">
        <v>12237.67</v>
      </c>
      <c r="F13" s="6">
        <f t="shared" si="0"/>
        <v>12238.270000000082</v>
      </c>
      <c r="G13" s="9" t="s">
        <v>145</v>
      </c>
      <c r="H13" s="7"/>
      <c r="I13" s="4"/>
      <c r="J13" s="19"/>
      <c r="K13" s="16"/>
    </row>
    <row r="14" spans="1:11">
      <c r="A14" s="15">
        <v>43984</v>
      </c>
      <c r="B14" s="4">
        <v>300440</v>
      </c>
      <c r="C14" s="4" t="s">
        <v>57</v>
      </c>
      <c r="D14" s="77">
        <v>910.65</v>
      </c>
      <c r="E14" s="5"/>
      <c r="F14" s="6">
        <f t="shared" si="0"/>
        <v>11327.620000000083</v>
      </c>
      <c r="G14" s="9" t="s">
        <v>271</v>
      </c>
      <c r="H14" s="7" t="s">
        <v>98</v>
      </c>
      <c r="I14" s="4"/>
      <c r="J14" s="19"/>
      <c r="K14" s="16"/>
    </row>
    <row r="15" spans="1:11">
      <c r="A15" s="15">
        <v>43984</v>
      </c>
      <c r="B15" s="4">
        <v>542624</v>
      </c>
      <c r="C15" s="4" t="s">
        <v>52</v>
      </c>
      <c r="D15" s="77">
        <v>11327.62</v>
      </c>
      <c r="E15" s="5"/>
      <c r="F15" s="6">
        <f t="shared" si="0"/>
        <v>8.1854523159563541E-11</v>
      </c>
      <c r="G15" s="9" t="s">
        <v>175</v>
      </c>
      <c r="H15" s="7" t="s">
        <v>45</v>
      </c>
      <c r="I15" s="4">
        <v>400549</v>
      </c>
      <c r="J15" s="19">
        <v>27</v>
      </c>
      <c r="K15" s="16">
        <v>43987</v>
      </c>
    </row>
    <row r="16" spans="1:11">
      <c r="A16" s="15">
        <v>43985</v>
      </c>
      <c r="B16" s="4">
        <v>727220</v>
      </c>
      <c r="C16" s="4" t="s">
        <v>60</v>
      </c>
      <c r="D16" s="77"/>
      <c r="E16" s="77">
        <v>2669.28</v>
      </c>
      <c r="F16" s="6">
        <f t="shared" si="0"/>
        <v>2669.2800000000821</v>
      </c>
      <c r="G16" s="9" t="s">
        <v>145</v>
      </c>
      <c r="H16" s="7"/>
      <c r="I16" s="4"/>
      <c r="J16" s="19"/>
      <c r="K16" s="16"/>
    </row>
    <row r="17" spans="1:11">
      <c r="A17" s="15">
        <v>43985</v>
      </c>
      <c r="B17" s="4">
        <v>300443</v>
      </c>
      <c r="C17" s="4" t="s">
        <v>57</v>
      </c>
      <c r="D17" s="77">
        <v>2669.28</v>
      </c>
      <c r="E17" s="5"/>
      <c r="F17" s="6">
        <f t="shared" si="0"/>
        <v>8.1854523159563541E-11</v>
      </c>
      <c r="G17" s="9" t="s">
        <v>271</v>
      </c>
      <c r="H17" s="7" t="s">
        <v>77</v>
      </c>
      <c r="I17" s="4"/>
      <c r="J17" s="19"/>
      <c r="K17" s="16"/>
    </row>
    <row r="18" spans="1:11">
      <c r="A18" s="15">
        <v>43986</v>
      </c>
      <c r="B18" s="4">
        <v>746768</v>
      </c>
      <c r="C18" s="4" t="s">
        <v>58</v>
      </c>
      <c r="D18" s="77">
        <v>293392.35000000003</v>
      </c>
      <c r="E18" s="5"/>
      <c r="F18" s="6">
        <f t="shared" si="0"/>
        <v>-293392.34999999998</v>
      </c>
      <c r="G18" s="9" t="s">
        <v>149</v>
      </c>
      <c r="H18" s="7"/>
      <c r="I18" s="4"/>
      <c r="J18" s="19"/>
      <c r="K18" s="16"/>
    </row>
    <row r="19" spans="1:11">
      <c r="A19" s="15">
        <v>43986</v>
      </c>
      <c r="B19" s="4">
        <v>1</v>
      </c>
      <c r="C19" s="4" t="s">
        <v>37</v>
      </c>
      <c r="D19" s="77"/>
      <c r="E19" s="77">
        <v>206074.93</v>
      </c>
      <c r="F19" s="6">
        <f t="shared" si="0"/>
        <v>-87317.419999999984</v>
      </c>
      <c r="G19" s="9" t="s">
        <v>147</v>
      </c>
      <c r="H19" s="7"/>
      <c r="I19" s="4"/>
      <c r="J19" s="19"/>
      <c r="K19" s="16"/>
    </row>
    <row r="20" spans="1:11">
      <c r="A20" s="15">
        <v>43986</v>
      </c>
      <c r="B20" s="4">
        <v>1</v>
      </c>
      <c r="C20" s="4" t="s">
        <v>37</v>
      </c>
      <c r="D20" s="77"/>
      <c r="E20" s="77">
        <v>87318.02</v>
      </c>
      <c r="F20" s="6">
        <f t="shared" si="0"/>
        <v>0.60000000002037268</v>
      </c>
      <c r="G20" s="9" t="s">
        <v>147</v>
      </c>
      <c r="H20" s="7"/>
      <c r="I20" s="4"/>
      <c r="J20" s="19"/>
      <c r="K20" s="16"/>
    </row>
    <row r="21" spans="1:11">
      <c r="A21" s="15">
        <v>43987</v>
      </c>
      <c r="B21" s="4">
        <v>727220</v>
      </c>
      <c r="C21" s="4" t="s">
        <v>60</v>
      </c>
      <c r="D21" s="77"/>
      <c r="E21" s="77">
        <v>82773.279999999999</v>
      </c>
      <c r="F21" s="6">
        <f t="shared" si="0"/>
        <v>82773.880000000019</v>
      </c>
      <c r="G21" s="9" t="s">
        <v>145</v>
      </c>
      <c r="H21" s="7"/>
      <c r="I21" s="4"/>
      <c r="J21" s="19"/>
      <c r="K21" s="16"/>
    </row>
    <row r="22" spans="1:11">
      <c r="A22" s="15">
        <v>43987</v>
      </c>
      <c r="B22" s="4">
        <v>52020</v>
      </c>
      <c r="C22" s="4" t="s">
        <v>188</v>
      </c>
      <c r="D22" s="77">
        <v>99</v>
      </c>
      <c r="E22" s="5"/>
      <c r="F22" s="6">
        <f t="shared" si="0"/>
        <v>82674.880000000019</v>
      </c>
      <c r="G22" s="9" t="s">
        <v>72</v>
      </c>
      <c r="H22" s="7"/>
      <c r="I22" s="4"/>
      <c r="J22" s="19"/>
      <c r="K22" s="16"/>
    </row>
    <row r="23" spans="1:11">
      <c r="A23" s="15">
        <v>43987</v>
      </c>
      <c r="B23" s="4">
        <v>309379</v>
      </c>
      <c r="C23" s="4" t="s">
        <v>172</v>
      </c>
      <c r="D23" s="77">
        <v>82111.16</v>
      </c>
      <c r="E23" s="5"/>
      <c r="F23" s="6">
        <f t="shared" si="0"/>
        <v>563.72000000001572</v>
      </c>
      <c r="G23" s="9" t="s">
        <v>270</v>
      </c>
      <c r="H23" s="7"/>
      <c r="I23" s="4"/>
      <c r="J23" s="19"/>
      <c r="K23" s="16"/>
    </row>
    <row r="24" spans="1:11">
      <c r="A24" s="15">
        <v>43987</v>
      </c>
      <c r="B24" s="4">
        <v>154654</v>
      </c>
      <c r="C24" s="4" t="s">
        <v>55</v>
      </c>
      <c r="D24" s="77">
        <v>563.72</v>
      </c>
      <c r="E24" s="5"/>
      <c r="F24" s="6">
        <f t="shared" si="0"/>
        <v>1.5688783605583012E-11</v>
      </c>
      <c r="G24" s="9" t="s">
        <v>272</v>
      </c>
      <c r="H24" s="7" t="s">
        <v>117</v>
      </c>
      <c r="I24" s="4">
        <v>17</v>
      </c>
      <c r="J24" s="19">
        <v>1</v>
      </c>
      <c r="K24" s="16"/>
    </row>
    <row r="25" spans="1:11">
      <c r="A25" s="15">
        <v>43997</v>
      </c>
      <c r="B25" s="4">
        <v>300451</v>
      </c>
      <c r="C25" s="4" t="s">
        <v>57</v>
      </c>
      <c r="D25" s="77">
        <v>11000</v>
      </c>
      <c r="E25" s="5"/>
      <c r="F25" s="6">
        <f t="shared" si="0"/>
        <v>-10999.999999999984</v>
      </c>
      <c r="G25" s="9" t="s">
        <v>220</v>
      </c>
      <c r="H25" s="7" t="s">
        <v>369</v>
      </c>
      <c r="I25" s="4">
        <v>16</v>
      </c>
      <c r="J25" s="19">
        <v>5</v>
      </c>
      <c r="K25" s="16">
        <v>43987</v>
      </c>
    </row>
    <row r="26" spans="1:11">
      <c r="A26" s="15">
        <v>43997</v>
      </c>
      <c r="B26" s="4">
        <v>300451</v>
      </c>
      <c r="C26" s="4" t="s">
        <v>367</v>
      </c>
      <c r="D26" s="77"/>
      <c r="E26" s="77">
        <v>11000</v>
      </c>
      <c r="F26" s="6">
        <f t="shared" si="0"/>
        <v>1.6370904631912708E-11</v>
      </c>
      <c r="G26" s="9" t="s">
        <v>232</v>
      </c>
      <c r="H26" s="7" t="s">
        <v>369</v>
      </c>
      <c r="I26" s="4">
        <v>16</v>
      </c>
      <c r="J26" s="19"/>
      <c r="K26" s="16">
        <v>43987</v>
      </c>
    </row>
    <row r="27" spans="1:11">
      <c r="A27" s="15">
        <v>43997</v>
      </c>
      <c r="B27" s="4">
        <v>300449</v>
      </c>
      <c r="C27" s="4" t="s">
        <v>57</v>
      </c>
      <c r="D27" s="77">
        <v>1962.3500000000001</v>
      </c>
      <c r="E27" s="5"/>
      <c r="F27" s="6">
        <f t="shared" si="0"/>
        <v>-1962.3499999999838</v>
      </c>
      <c r="G27" s="9" t="s">
        <v>174</v>
      </c>
      <c r="H27" s="7" t="s">
        <v>352</v>
      </c>
      <c r="I27" s="4">
        <v>61</v>
      </c>
      <c r="J27" s="19">
        <v>7</v>
      </c>
      <c r="K27" s="16">
        <v>43990</v>
      </c>
    </row>
    <row r="28" spans="1:11">
      <c r="A28" s="15">
        <v>43997</v>
      </c>
      <c r="B28" s="4">
        <v>300455</v>
      </c>
      <c r="C28" s="4" t="s">
        <v>57</v>
      </c>
      <c r="D28" s="77">
        <v>17783.830000000002</v>
      </c>
      <c r="E28" s="5"/>
      <c r="F28" s="6">
        <f t="shared" si="0"/>
        <v>-19746.179999999986</v>
      </c>
      <c r="G28" s="9" t="s">
        <v>174</v>
      </c>
      <c r="H28" s="7" t="s">
        <v>128</v>
      </c>
      <c r="I28" s="4">
        <v>66</v>
      </c>
      <c r="J28" s="19">
        <v>21</v>
      </c>
      <c r="K28" s="16">
        <v>43987</v>
      </c>
    </row>
    <row r="29" spans="1:11">
      <c r="A29" s="15">
        <v>43997</v>
      </c>
      <c r="B29" s="4">
        <v>300446</v>
      </c>
      <c r="C29" s="4" t="s">
        <v>59</v>
      </c>
      <c r="D29" s="77">
        <v>3295.52</v>
      </c>
      <c r="E29" s="5"/>
      <c r="F29" s="6">
        <f t="shared" si="0"/>
        <v>-23041.699999999986</v>
      </c>
      <c r="G29" s="9" t="s">
        <v>271</v>
      </c>
      <c r="H29" s="7" t="s">
        <v>107</v>
      </c>
      <c r="I29" s="4"/>
      <c r="J29" s="19"/>
      <c r="K29" s="16"/>
    </row>
    <row r="30" spans="1:11">
      <c r="A30" s="15">
        <v>43997</v>
      </c>
      <c r="B30" s="4">
        <v>300452</v>
      </c>
      <c r="C30" s="4" t="s">
        <v>57</v>
      </c>
      <c r="D30" s="77">
        <v>11000</v>
      </c>
      <c r="E30" s="5"/>
      <c r="F30" s="6">
        <f t="shared" si="0"/>
        <v>-34041.699999999983</v>
      </c>
      <c r="G30" s="9" t="s">
        <v>174</v>
      </c>
      <c r="H30" s="7" t="s">
        <v>361</v>
      </c>
      <c r="I30" s="4">
        <v>58</v>
      </c>
      <c r="J30" s="19">
        <v>3</v>
      </c>
      <c r="K30" s="16">
        <v>43987</v>
      </c>
    </row>
    <row r="31" spans="1:11">
      <c r="A31" s="15">
        <v>43997</v>
      </c>
      <c r="B31" s="4">
        <v>727220</v>
      </c>
      <c r="C31" s="4" t="s">
        <v>60</v>
      </c>
      <c r="D31" s="77"/>
      <c r="E31" s="77">
        <v>84805.48</v>
      </c>
      <c r="F31" s="6">
        <f t="shared" si="0"/>
        <v>50763.780000000013</v>
      </c>
      <c r="G31" s="9" t="s">
        <v>145</v>
      </c>
      <c r="H31" s="7"/>
      <c r="I31" s="4"/>
      <c r="J31" s="19"/>
      <c r="K31" s="16"/>
    </row>
    <row r="32" spans="1:11">
      <c r="A32" s="15">
        <v>43997</v>
      </c>
      <c r="B32" s="4">
        <v>151419</v>
      </c>
      <c r="C32" s="4" t="s">
        <v>173</v>
      </c>
      <c r="D32" s="77">
        <v>2352</v>
      </c>
      <c r="E32" s="5"/>
      <c r="F32" s="6">
        <f t="shared" si="0"/>
        <v>48411.780000000013</v>
      </c>
      <c r="G32" s="9" t="s">
        <v>34</v>
      </c>
      <c r="H32" s="7" t="s">
        <v>223</v>
      </c>
      <c r="I32" s="4">
        <v>619</v>
      </c>
      <c r="J32" s="19">
        <v>1</v>
      </c>
      <c r="K32" s="16">
        <v>43983</v>
      </c>
    </row>
    <row r="33" spans="1:11">
      <c r="A33" s="15">
        <v>43997</v>
      </c>
      <c r="B33" s="4">
        <v>300457</v>
      </c>
      <c r="C33" s="4" t="s">
        <v>57</v>
      </c>
      <c r="D33" s="77">
        <v>2180.4</v>
      </c>
      <c r="E33" s="5"/>
      <c r="F33" s="6">
        <f t="shared" si="0"/>
        <v>46231.380000000012</v>
      </c>
      <c r="G33" s="9" t="s">
        <v>174</v>
      </c>
      <c r="H33" s="7" t="s">
        <v>343</v>
      </c>
      <c r="I33" s="4">
        <v>969</v>
      </c>
      <c r="J33" s="19">
        <v>9</v>
      </c>
      <c r="K33" s="16">
        <v>43983</v>
      </c>
    </row>
    <row r="34" spans="1:11">
      <c r="A34" s="15">
        <v>43997</v>
      </c>
      <c r="B34" s="4">
        <v>151420</v>
      </c>
      <c r="C34" s="4" t="s">
        <v>47</v>
      </c>
      <c r="D34" s="77">
        <v>1741.66</v>
      </c>
      <c r="E34" s="5"/>
      <c r="F34" s="6">
        <f t="shared" si="0"/>
        <v>44489.720000000008</v>
      </c>
      <c r="G34" s="9" t="s">
        <v>151</v>
      </c>
      <c r="H34" s="7"/>
      <c r="I34" s="4"/>
      <c r="J34" s="19"/>
      <c r="K34" s="16"/>
    </row>
    <row r="35" spans="1:11">
      <c r="A35" s="15">
        <v>43997</v>
      </c>
      <c r="B35" s="4">
        <v>300456</v>
      </c>
      <c r="C35" s="4" t="s">
        <v>57</v>
      </c>
      <c r="D35" s="77">
        <v>4054.32</v>
      </c>
      <c r="E35" s="5"/>
      <c r="F35" s="6">
        <f t="shared" si="0"/>
        <v>40435.400000000009</v>
      </c>
      <c r="G35" s="9" t="s">
        <v>174</v>
      </c>
      <c r="H35" s="7" t="s">
        <v>341</v>
      </c>
      <c r="I35" s="4">
        <v>337</v>
      </c>
      <c r="J35" s="19">
        <v>9</v>
      </c>
      <c r="K35" s="16">
        <v>43987</v>
      </c>
    </row>
    <row r="36" spans="1:11">
      <c r="A36" s="15">
        <v>43997</v>
      </c>
      <c r="B36" s="4">
        <v>300448</v>
      </c>
      <c r="C36" s="4" t="s">
        <v>57</v>
      </c>
      <c r="D36" s="77">
        <v>11774.16</v>
      </c>
      <c r="E36" s="5"/>
      <c r="F36" s="6">
        <f t="shared" si="0"/>
        <v>28661.240000000009</v>
      </c>
      <c r="G36" s="9" t="s">
        <v>174</v>
      </c>
      <c r="H36" s="7" t="s">
        <v>342</v>
      </c>
      <c r="I36" s="4">
        <v>9</v>
      </c>
      <c r="J36" s="19">
        <v>9</v>
      </c>
      <c r="K36" s="16">
        <v>43987</v>
      </c>
    </row>
    <row r="37" spans="1:11">
      <c r="A37" s="15">
        <v>43997</v>
      </c>
      <c r="B37" s="4">
        <v>300454</v>
      </c>
      <c r="C37" s="4" t="s">
        <v>57</v>
      </c>
      <c r="D37" s="77">
        <v>17661.240000000002</v>
      </c>
      <c r="E37" s="5"/>
      <c r="F37" s="6">
        <f t="shared" si="0"/>
        <v>11000.000000000007</v>
      </c>
      <c r="G37" s="9" t="s">
        <v>174</v>
      </c>
      <c r="H37" s="7" t="s">
        <v>224</v>
      </c>
      <c r="I37" s="4">
        <v>53</v>
      </c>
      <c r="J37" s="19">
        <v>10</v>
      </c>
      <c r="K37" s="16">
        <v>43990</v>
      </c>
    </row>
    <row r="38" spans="1:11">
      <c r="A38" s="15">
        <v>43998</v>
      </c>
      <c r="B38" s="4">
        <v>727220</v>
      </c>
      <c r="C38" s="4" t="s">
        <v>60</v>
      </c>
      <c r="D38" s="77"/>
      <c r="E38" s="77">
        <v>10796.67</v>
      </c>
      <c r="F38" s="6">
        <f t="shared" si="0"/>
        <v>21796.670000000006</v>
      </c>
      <c r="G38" s="9" t="s">
        <v>145</v>
      </c>
      <c r="H38" s="7"/>
      <c r="I38" s="4"/>
      <c r="J38" s="19"/>
      <c r="K38" s="16"/>
    </row>
    <row r="39" spans="1:11">
      <c r="A39" s="15">
        <v>43998</v>
      </c>
      <c r="B39" s="4">
        <v>23</v>
      </c>
      <c r="C39" s="4" t="s">
        <v>68</v>
      </c>
      <c r="D39" s="77">
        <v>0.35000000000000003</v>
      </c>
      <c r="E39" s="5"/>
      <c r="F39" s="6">
        <f t="shared" si="0"/>
        <v>21796.320000000007</v>
      </c>
      <c r="G39" s="9" t="s">
        <v>72</v>
      </c>
      <c r="H39" s="7"/>
      <c r="I39" s="4"/>
      <c r="J39" s="19"/>
      <c r="K39" s="16"/>
    </row>
    <row r="40" spans="1:11">
      <c r="A40" s="15">
        <v>43998</v>
      </c>
      <c r="B40" s="4">
        <v>300450</v>
      </c>
      <c r="C40" s="4" t="s">
        <v>57</v>
      </c>
      <c r="D40" s="77">
        <v>6480</v>
      </c>
      <c r="E40" s="5"/>
      <c r="F40" s="6">
        <f t="shared" si="0"/>
        <v>15316.320000000007</v>
      </c>
      <c r="G40" s="9" t="s">
        <v>174</v>
      </c>
      <c r="H40" s="7" t="s">
        <v>302</v>
      </c>
      <c r="I40" s="4">
        <v>129</v>
      </c>
      <c r="J40" s="19">
        <v>2</v>
      </c>
      <c r="K40" s="16">
        <v>43990</v>
      </c>
    </row>
    <row r="41" spans="1:11">
      <c r="A41" s="15">
        <v>43998</v>
      </c>
      <c r="B41" s="4">
        <v>300453</v>
      </c>
      <c r="C41" s="4" t="s">
        <v>57</v>
      </c>
      <c r="D41" s="77">
        <v>15316.32</v>
      </c>
      <c r="E41" s="5"/>
      <c r="F41" s="6">
        <f t="shared" si="0"/>
        <v>7.2759576141834259E-12</v>
      </c>
      <c r="G41" s="9" t="s">
        <v>174</v>
      </c>
      <c r="H41" s="7" t="s">
        <v>127</v>
      </c>
      <c r="I41" s="4">
        <v>91</v>
      </c>
      <c r="J41" s="19">
        <v>3</v>
      </c>
      <c r="K41" s="16">
        <v>43990</v>
      </c>
    </row>
    <row r="42" spans="1:11">
      <c r="A42" s="15">
        <v>43999</v>
      </c>
      <c r="B42" s="4">
        <v>727220</v>
      </c>
      <c r="C42" s="4" t="s">
        <v>60</v>
      </c>
      <c r="D42" s="77"/>
      <c r="E42" s="77">
        <v>7292.99</v>
      </c>
      <c r="F42" s="6">
        <f t="shared" si="0"/>
        <v>7292.9900000000071</v>
      </c>
      <c r="G42" s="9" t="s">
        <v>145</v>
      </c>
      <c r="H42" s="7"/>
      <c r="I42" s="4"/>
      <c r="J42" s="19"/>
      <c r="K42" s="16"/>
    </row>
    <row r="43" spans="1:11">
      <c r="A43" s="15">
        <v>43999</v>
      </c>
      <c r="B43" s="4">
        <v>300458</v>
      </c>
      <c r="C43" s="4" t="s">
        <v>57</v>
      </c>
      <c r="D43" s="77">
        <v>4605.54</v>
      </c>
      <c r="E43" s="5"/>
      <c r="F43" s="6">
        <f t="shared" si="0"/>
        <v>2687.4500000000071</v>
      </c>
      <c r="G43" s="9" t="s">
        <v>174</v>
      </c>
      <c r="H43" s="7" t="s">
        <v>394</v>
      </c>
      <c r="I43" s="4">
        <v>36</v>
      </c>
      <c r="J43" s="19">
        <v>22</v>
      </c>
      <c r="K43" s="16">
        <v>43986</v>
      </c>
    </row>
    <row r="44" spans="1:11">
      <c r="A44" s="15">
        <v>43999</v>
      </c>
      <c r="B44" s="4">
        <v>300444</v>
      </c>
      <c r="C44" s="4" t="s">
        <v>57</v>
      </c>
      <c r="D44" s="77">
        <v>2687.4500000000003</v>
      </c>
      <c r="E44" s="5"/>
      <c r="F44" s="6">
        <f t="shared" si="0"/>
        <v>6.8212102632969618E-12</v>
      </c>
      <c r="G44" s="9" t="s">
        <v>271</v>
      </c>
      <c r="H44" s="7" t="s">
        <v>360</v>
      </c>
      <c r="I44" s="4"/>
      <c r="J44" s="19"/>
      <c r="K44" s="16"/>
    </row>
    <row r="45" spans="1:11">
      <c r="A45" s="15">
        <v>44000</v>
      </c>
      <c r="B45" s="4">
        <v>727220</v>
      </c>
      <c r="C45" s="4" t="s">
        <v>60</v>
      </c>
      <c r="D45" s="77"/>
      <c r="E45" s="77">
        <v>11000</v>
      </c>
      <c r="F45" s="6">
        <f t="shared" si="0"/>
        <v>11000.000000000007</v>
      </c>
      <c r="G45" s="9" t="s">
        <v>145</v>
      </c>
      <c r="H45" s="7"/>
      <c r="I45" s="4"/>
      <c r="J45" s="19"/>
      <c r="K45" s="16"/>
    </row>
    <row r="46" spans="1:11">
      <c r="A46" s="15">
        <v>44000</v>
      </c>
      <c r="B46" s="4">
        <v>110200</v>
      </c>
      <c r="C46" s="4" t="s">
        <v>55</v>
      </c>
      <c r="D46" s="77">
        <v>11000</v>
      </c>
      <c r="E46" s="5"/>
      <c r="F46" s="6">
        <f t="shared" si="0"/>
        <v>7.2759576141834259E-12</v>
      </c>
      <c r="G46" s="9" t="s">
        <v>146</v>
      </c>
      <c r="H46" s="7" t="s">
        <v>369</v>
      </c>
      <c r="I46" s="4">
        <v>16</v>
      </c>
      <c r="J46" s="19">
        <v>1</v>
      </c>
      <c r="K46" s="16">
        <v>43987</v>
      </c>
    </row>
    <row r="47" spans="1:11">
      <c r="A47" s="15">
        <v>44001</v>
      </c>
      <c r="B47" s="4">
        <v>497351</v>
      </c>
      <c r="C47" s="4" t="s">
        <v>53</v>
      </c>
      <c r="D47" s="77">
        <v>2778.84</v>
      </c>
      <c r="E47" s="5"/>
      <c r="F47" s="6">
        <f t="shared" si="0"/>
        <v>-2778.8399999999929</v>
      </c>
      <c r="G47" s="9" t="s">
        <v>43</v>
      </c>
      <c r="H47" s="7" t="s">
        <v>134</v>
      </c>
      <c r="I47" s="4">
        <v>87</v>
      </c>
      <c r="J47" s="19">
        <v>1</v>
      </c>
      <c r="K47" s="16">
        <v>43997</v>
      </c>
    </row>
    <row r="48" spans="1:11">
      <c r="A48" s="15">
        <v>44001</v>
      </c>
      <c r="B48" s="4">
        <v>896258</v>
      </c>
      <c r="C48" s="4" t="s">
        <v>54</v>
      </c>
      <c r="D48" s="77">
        <v>10265.960000000001</v>
      </c>
      <c r="E48" s="5"/>
      <c r="F48" s="6">
        <f t="shared" si="0"/>
        <v>-13044.799999999994</v>
      </c>
      <c r="G48" s="9" t="s">
        <v>29</v>
      </c>
      <c r="H48" s="7" t="s">
        <v>116</v>
      </c>
      <c r="I48" s="4">
        <v>26</v>
      </c>
      <c r="J48" s="19">
        <v>1</v>
      </c>
      <c r="K48" s="16">
        <v>43994</v>
      </c>
    </row>
    <row r="49" spans="1:11">
      <c r="A49" s="15">
        <v>44001</v>
      </c>
      <c r="B49" s="4">
        <v>497240</v>
      </c>
      <c r="C49" s="4" t="s">
        <v>53</v>
      </c>
      <c r="D49" s="77">
        <v>896.4</v>
      </c>
      <c r="E49" s="5"/>
      <c r="F49" s="6">
        <f t="shared" si="0"/>
        <v>-13941.199999999993</v>
      </c>
      <c r="G49" s="9" t="s">
        <v>273</v>
      </c>
      <c r="H49" s="7" t="s">
        <v>257</v>
      </c>
      <c r="I49" s="4">
        <v>82</v>
      </c>
      <c r="J49" s="19">
        <v>1</v>
      </c>
      <c r="K49" s="16">
        <v>43997</v>
      </c>
    </row>
    <row r="50" spans="1:11">
      <c r="A50" s="15">
        <v>44001</v>
      </c>
      <c r="B50" s="4">
        <v>497101</v>
      </c>
      <c r="C50" s="4" t="s">
        <v>53</v>
      </c>
      <c r="D50" s="77">
        <v>3109.54</v>
      </c>
      <c r="E50" s="5"/>
      <c r="F50" s="6">
        <f t="shared" si="0"/>
        <v>-17050.739999999994</v>
      </c>
      <c r="G50" s="9" t="s">
        <v>282</v>
      </c>
      <c r="H50" s="7" t="s">
        <v>256</v>
      </c>
      <c r="I50" s="4">
        <v>32</v>
      </c>
      <c r="J50" s="19">
        <v>1</v>
      </c>
      <c r="K50" s="16">
        <v>43991</v>
      </c>
    </row>
    <row r="51" spans="1:11">
      <c r="A51" s="15">
        <v>44001</v>
      </c>
      <c r="B51" s="4">
        <v>191455</v>
      </c>
      <c r="C51" s="4" t="s">
        <v>47</v>
      </c>
      <c r="D51" s="77">
        <v>136.68</v>
      </c>
      <c r="E51" s="5"/>
      <c r="F51" s="6">
        <f t="shared" si="0"/>
        <v>-17187.419999999995</v>
      </c>
      <c r="G51" s="9" t="s">
        <v>151</v>
      </c>
      <c r="H51" s="7"/>
      <c r="I51" s="4"/>
      <c r="J51" s="19"/>
      <c r="K51" s="16"/>
    </row>
    <row r="52" spans="1:11">
      <c r="A52" s="15">
        <v>44001</v>
      </c>
      <c r="B52" s="4">
        <v>727220</v>
      </c>
      <c r="C52" s="4" t="s">
        <v>60</v>
      </c>
      <c r="D52" s="77"/>
      <c r="E52" s="77">
        <v>17670.650000000001</v>
      </c>
      <c r="F52" s="6">
        <f t="shared" si="0"/>
        <v>483.23000000000684</v>
      </c>
      <c r="G52" s="9" t="s">
        <v>145</v>
      </c>
      <c r="H52" s="7"/>
      <c r="I52" s="4"/>
      <c r="J52" s="19"/>
      <c r="K52" s="16"/>
    </row>
    <row r="53" spans="1:11">
      <c r="A53" s="15">
        <v>44001</v>
      </c>
      <c r="B53" s="4">
        <v>1</v>
      </c>
      <c r="C53" s="4" t="s">
        <v>51</v>
      </c>
      <c r="D53" s="77"/>
      <c r="E53" s="77">
        <v>0.35000000000000003</v>
      </c>
      <c r="F53" s="6">
        <f t="shared" si="0"/>
        <v>483.58000000000686</v>
      </c>
      <c r="G53" s="62" t="s">
        <v>232</v>
      </c>
      <c r="H53" s="7"/>
      <c r="I53" s="4"/>
      <c r="J53" s="19"/>
      <c r="K53" s="16"/>
    </row>
    <row r="54" spans="1:11">
      <c r="A54" s="15">
        <v>44001</v>
      </c>
      <c r="B54" s="4">
        <v>496954</v>
      </c>
      <c r="C54" s="4" t="s">
        <v>53</v>
      </c>
      <c r="D54" s="77">
        <v>483.58</v>
      </c>
      <c r="E54" s="5"/>
      <c r="F54" s="6">
        <f t="shared" si="0"/>
        <v>6.8780536821577698E-12</v>
      </c>
      <c r="G54" s="9" t="s">
        <v>282</v>
      </c>
      <c r="H54" s="7" t="s">
        <v>256</v>
      </c>
      <c r="I54" s="4">
        <v>34</v>
      </c>
      <c r="J54" s="19">
        <v>1</v>
      </c>
      <c r="K54" s="16">
        <v>43991</v>
      </c>
    </row>
    <row r="55" spans="1:11">
      <c r="A55" s="15">
        <v>44004</v>
      </c>
      <c r="B55" s="4">
        <v>300459</v>
      </c>
      <c r="C55" s="4" t="s">
        <v>57</v>
      </c>
      <c r="D55" s="77">
        <v>1944.8700000000001</v>
      </c>
      <c r="E55" s="5"/>
      <c r="F55" s="6">
        <f t="shared" si="0"/>
        <v>-1944.8699999999933</v>
      </c>
      <c r="G55" s="9" t="s">
        <v>174</v>
      </c>
      <c r="H55" s="7" t="s">
        <v>310</v>
      </c>
      <c r="I55" s="4">
        <v>96</v>
      </c>
      <c r="J55" s="19">
        <v>1</v>
      </c>
      <c r="K55" s="16">
        <v>43994</v>
      </c>
    </row>
    <row r="56" spans="1:11">
      <c r="A56" s="15">
        <v>44004</v>
      </c>
      <c r="B56" s="4">
        <v>221409</v>
      </c>
      <c r="C56" s="4" t="s">
        <v>44</v>
      </c>
      <c r="D56" s="77"/>
      <c r="E56" s="77">
        <v>99</v>
      </c>
      <c r="F56" s="6">
        <f t="shared" si="0"/>
        <v>-1845.8699999999933</v>
      </c>
      <c r="G56" s="9" t="s">
        <v>234</v>
      </c>
      <c r="H56" s="7"/>
      <c r="I56" s="4"/>
      <c r="J56" s="19"/>
      <c r="K56" s="16"/>
    </row>
    <row r="57" spans="1:11">
      <c r="A57" s="15">
        <v>44004</v>
      </c>
      <c r="B57" s="4">
        <v>720289</v>
      </c>
      <c r="C57" s="4" t="s">
        <v>52</v>
      </c>
      <c r="D57" s="77">
        <v>441.6</v>
      </c>
      <c r="E57" s="5"/>
      <c r="F57" s="6">
        <f t="shared" si="0"/>
        <v>-2287.4699999999934</v>
      </c>
      <c r="G57" s="9" t="s">
        <v>150</v>
      </c>
      <c r="H57" s="7" t="s">
        <v>161</v>
      </c>
      <c r="I57" s="4">
        <v>1</v>
      </c>
      <c r="J57" s="19">
        <v>1</v>
      </c>
      <c r="K57" s="16"/>
    </row>
    <row r="58" spans="1:11">
      <c r="A58" s="15">
        <v>44004</v>
      </c>
      <c r="B58" s="4">
        <v>727220</v>
      </c>
      <c r="C58" s="4" t="s">
        <v>60</v>
      </c>
      <c r="D58" s="77"/>
      <c r="E58" s="77">
        <v>2287.4700000000003</v>
      </c>
      <c r="F58" s="6">
        <f t="shared" si="0"/>
        <v>6.8212102632969618E-12</v>
      </c>
      <c r="G58" s="9" t="s">
        <v>145</v>
      </c>
      <c r="H58" s="7"/>
      <c r="I58" s="4"/>
      <c r="J58" s="19"/>
      <c r="K58" s="16"/>
    </row>
    <row r="59" spans="1:11">
      <c r="A59" s="15">
        <v>44008</v>
      </c>
      <c r="B59" s="4">
        <v>261410</v>
      </c>
      <c r="C59" s="4" t="s">
        <v>47</v>
      </c>
      <c r="D59" s="77">
        <v>21460.78</v>
      </c>
      <c r="E59" s="5"/>
      <c r="F59" s="6">
        <f t="shared" si="0"/>
        <v>-21460.779999999992</v>
      </c>
      <c r="G59" s="9" t="s">
        <v>176</v>
      </c>
      <c r="H59" s="7"/>
      <c r="I59" s="4"/>
      <c r="J59" s="19"/>
      <c r="K59" s="16"/>
    </row>
    <row r="60" spans="1:11">
      <c r="A60" s="15">
        <v>44008</v>
      </c>
      <c r="B60" s="4">
        <v>727220</v>
      </c>
      <c r="C60" s="4" t="s">
        <v>60</v>
      </c>
      <c r="D60" s="77"/>
      <c r="E60" s="77">
        <v>21460.78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/>
      <c r="B61" s="4"/>
      <c r="C61" s="4"/>
      <c r="D61" s="77"/>
      <c r="E61" s="5"/>
      <c r="F61" s="6"/>
      <c r="G61" s="9"/>
      <c r="H61" s="7"/>
      <c r="I61" s="4"/>
      <c r="J61" s="19"/>
      <c r="K61" s="16"/>
    </row>
    <row r="62" spans="1:11" ht="15.75" thickBot="1">
      <c r="A62" s="324" t="s">
        <v>12</v>
      </c>
      <c r="B62" s="325"/>
      <c r="C62" s="21"/>
      <c r="D62" s="78">
        <f>SUM(D10:D61)</f>
        <v>559725.33000000007</v>
      </c>
      <c r="E62" s="40">
        <f>SUM(E10:E61)</f>
        <v>559725.92999999993</v>
      </c>
      <c r="F62" s="22">
        <f>F9-D62+E62</f>
        <v>0</v>
      </c>
      <c r="G62" s="10"/>
      <c r="H62" s="18"/>
      <c r="I62" s="17"/>
      <c r="J62" s="20"/>
      <c r="K62" s="25"/>
    </row>
    <row r="63" spans="1:11">
      <c r="A63" s="38" t="s">
        <v>23</v>
      </c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7" spans="1:13" ht="46.5" customHeight="1">
      <c r="A67" s="299" t="s">
        <v>123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</row>
    <row r="68" spans="1:13" ht="18" customHeight="1"/>
    <row r="69" spans="1:13" ht="18" customHeight="1">
      <c r="A69" s="318" t="s">
        <v>404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</row>
    <row r="70" spans="1:13">
      <c r="A70" s="3"/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3">
      <c r="A71" s="319" t="s">
        <v>21</v>
      </c>
      <c r="B71" s="320"/>
      <c r="C71" s="320"/>
      <c r="D71" s="320"/>
      <c r="E71" s="321"/>
      <c r="F71" s="3"/>
      <c r="G71" s="322" t="s">
        <v>20</v>
      </c>
      <c r="H71" s="322"/>
      <c r="I71" s="322"/>
      <c r="J71" s="322"/>
      <c r="K71" s="24"/>
    </row>
    <row r="72" spans="1:13">
      <c r="A72" s="28" t="s">
        <v>233</v>
      </c>
      <c r="B72" s="44"/>
      <c r="C72" s="44"/>
      <c r="D72" s="79"/>
      <c r="E72" s="33">
        <f t="shared" ref="E72:E108" si="1">SUMIF($G$8:$G$61,A72,$D$8:$D$61)</f>
        <v>0</v>
      </c>
      <c r="F72" s="3"/>
      <c r="G72" s="62" t="s">
        <v>147</v>
      </c>
      <c r="H72" s="26"/>
      <c r="I72" s="306">
        <f>SUMIF($G$8:$G$61,G72,$E$8:$E$61)</f>
        <v>293392.95</v>
      </c>
      <c r="J72" s="307"/>
      <c r="K72" s="24"/>
    </row>
    <row r="73" spans="1:13">
      <c r="A73" s="27" t="s">
        <v>149</v>
      </c>
      <c r="B73" s="63"/>
      <c r="C73" s="63"/>
      <c r="D73" s="80"/>
      <c r="E73" s="29">
        <f t="shared" si="1"/>
        <v>293392.35000000003</v>
      </c>
      <c r="F73" s="3"/>
      <c r="G73" s="316" t="s">
        <v>145</v>
      </c>
      <c r="H73" s="317"/>
      <c r="I73" s="306">
        <f>SUMIF($G$8:$G$61,G73,$E$8:$E$61)</f>
        <v>255233.02999999997</v>
      </c>
      <c r="J73" s="307"/>
      <c r="K73" s="24"/>
    </row>
    <row r="74" spans="1:13">
      <c r="A74" s="62" t="s">
        <v>368</v>
      </c>
      <c r="B74" s="63"/>
      <c r="C74" s="63"/>
      <c r="D74" s="80"/>
      <c r="E74" s="29">
        <f t="shared" si="1"/>
        <v>0</v>
      </c>
      <c r="F74" s="3"/>
      <c r="G74" s="272" t="s">
        <v>234</v>
      </c>
      <c r="H74" s="273"/>
      <c r="I74" s="306">
        <f>SUMIF($G$8:$G$61,G74,$E$8:$E$61)</f>
        <v>99</v>
      </c>
      <c r="J74" s="307"/>
      <c r="K74" s="24"/>
      <c r="M74" s="274" t="s">
        <v>344</v>
      </c>
    </row>
    <row r="75" spans="1:13">
      <c r="A75" s="27" t="s">
        <v>174</v>
      </c>
      <c r="B75" s="63"/>
      <c r="C75" s="63"/>
      <c r="D75" s="80"/>
      <c r="E75" s="29">
        <f t="shared" si="1"/>
        <v>94763.029999999984</v>
      </c>
      <c r="F75" s="3"/>
      <c r="G75" s="62" t="s">
        <v>232</v>
      </c>
      <c r="H75" s="26"/>
      <c r="I75" s="306">
        <f>SUMIF($G$8:$G$61,G75,$E$8:$E$61)</f>
        <v>11000.95</v>
      </c>
      <c r="J75" s="307"/>
      <c r="K75" s="24"/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62"/>
      <c r="H76" s="26"/>
      <c r="I76" s="306"/>
      <c r="J76" s="307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47" t="s">
        <v>22</v>
      </c>
      <c r="H77" s="48"/>
      <c r="I77" s="302">
        <f>SUM(I72:J76)</f>
        <v>559725.92999999993</v>
      </c>
      <c r="J77" s="303"/>
      <c r="K77" s="61">
        <f>E62-I77</f>
        <v>0</v>
      </c>
    </row>
    <row r="78" spans="1:13">
      <c r="A78" s="27" t="s">
        <v>175</v>
      </c>
      <c r="B78" s="63"/>
      <c r="C78" s="63"/>
      <c r="D78" s="80"/>
      <c r="E78" s="29">
        <f t="shared" si="1"/>
        <v>11327.62</v>
      </c>
      <c r="F78" s="3"/>
      <c r="G78" s="70"/>
      <c r="H78" s="45"/>
      <c r="I78" s="69"/>
      <c r="J78" s="71"/>
      <c r="K78" s="24"/>
    </row>
    <row r="79" spans="1:13">
      <c r="A79" s="27" t="s">
        <v>271</v>
      </c>
      <c r="B79" s="63"/>
      <c r="C79" s="63"/>
      <c r="D79" s="80"/>
      <c r="E79" s="29">
        <f t="shared" si="1"/>
        <v>11801.060000000001</v>
      </c>
      <c r="F79" s="3"/>
      <c r="G79" s="36" t="s">
        <v>64</v>
      </c>
      <c r="H79" s="37"/>
      <c r="I79" s="66"/>
      <c r="J79" s="67"/>
    </row>
    <row r="80" spans="1:13">
      <c r="A80" s="27" t="s">
        <v>25</v>
      </c>
      <c r="B80" s="63"/>
      <c r="C80" s="63"/>
      <c r="D80" s="80"/>
      <c r="E80" s="29">
        <f t="shared" si="1"/>
        <v>0</v>
      </c>
      <c r="F80" s="3"/>
      <c r="G80" s="272" t="s">
        <v>19</v>
      </c>
      <c r="H80" s="273"/>
      <c r="I80" s="306">
        <f>'CEF Maio 2020'!I92:J92</f>
        <v>393638.85999999981</v>
      </c>
      <c r="J80" s="307"/>
    </row>
    <row r="81" spans="1:11">
      <c r="A81" s="27" t="s">
        <v>270</v>
      </c>
      <c r="B81" s="63"/>
      <c r="C81" s="63"/>
      <c r="D81" s="80"/>
      <c r="E81" s="29">
        <f t="shared" si="1"/>
        <v>82111.16</v>
      </c>
      <c r="F81" s="3"/>
      <c r="G81" s="27" t="s">
        <v>149</v>
      </c>
      <c r="H81" s="273"/>
      <c r="I81" s="306">
        <f>SUMIF($G$8:$G$61,G81,$D$8:$D$61)</f>
        <v>293392.35000000003</v>
      </c>
      <c r="J81" s="307"/>
    </row>
    <row r="82" spans="1:11">
      <c r="A82" s="27" t="s">
        <v>219</v>
      </c>
      <c r="B82" s="63"/>
      <c r="C82" s="63"/>
      <c r="D82" s="80"/>
      <c r="E82" s="29">
        <f t="shared" si="1"/>
        <v>0</v>
      </c>
      <c r="F82" s="3"/>
      <c r="G82" s="316" t="s">
        <v>145</v>
      </c>
      <c r="H82" s="317"/>
      <c r="I82" s="306">
        <f>-SUMIF($G$8:$G$61,G82,$E$8:$E$61)</f>
        <v>-255233.02999999997</v>
      </c>
      <c r="J82" s="307"/>
    </row>
    <row r="83" spans="1:11">
      <c r="A83" s="27" t="s">
        <v>29</v>
      </c>
      <c r="B83" s="63"/>
      <c r="C83" s="63"/>
      <c r="D83" s="80"/>
      <c r="E83" s="29">
        <f t="shared" si="1"/>
        <v>10265.960000000001</v>
      </c>
      <c r="F83" s="3"/>
      <c r="G83" s="272" t="s">
        <v>30</v>
      </c>
      <c r="H83" s="273"/>
      <c r="I83" s="306">
        <v>900.65</v>
      </c>
      <c r="J83" s="307"/>
    </row>
    <row r="84" spans="1:11">
      <c r="A84" s="27" t="s">
        <v>282</v>
      </c>
      <c r="B84" s="63"/>
      <c r="C84" s="63"/>
      <c r="D84" s="80"/>
      <c r="E84" s="29">
        <f t="shared" si="1"/>
        <v>3593.12</v>
      </c>
      <c r="F84" s="3"/>
      <c r="G84" s="30"/>
      <c r="H84" s="31"/>
      <c r="I84" s="314"/>
      <c r="J84" s="315"/>
    </row>
    <row r="85" spans="1:11">
      <c r="A85" s="27" t="s">
        <v>273</v>
      </c>
      <c r="B85" s="63"/>
      <c r="C85" s="63"/>
      <c r="D85" s="80"/>
      <c r="E85" s="29">
        <f t="shared" si="1"/>
        <v>896.4</v>
      </c>
      <c r="F85" s="3"/>
      <c r="G85" s="32" t="s">
        <v>18</v>
      </c>
      <c r="H85" s="31"/>
      <c r="I85" s="310">
        <f>SUM(I80:J83)</f>
        <v>432698.8299999999</v>
      </c>
      <c r="J85" s="311"/>
    </row>
    <row r="86" spans="1:11">
      <c r="A86" s="27" t="s">
        <v>218</v>
      </c>
      <c r="B86" s="63"/>
      <c r="C86" s="63"/>
      <c r="D86" s="80"/>
      <c r="E86" s="29">
        <f t="shared" si="1"/>
        <v>0</v>
      </c>
      <c r="F86" s="3"/>
      <c r="G86" s="49"/>
      <c r="H86" s="41"/>
      <c r="I86" s="41"/>
      <c r="J86" s="271"/>
      <c r="K86" s="24"/>
    </row>
    <row r="87" spans="1:11">
      <c r="A87" s="27" t="s">
        <v>379</v>
      </c>
      <c r="B87" s="63"/>
      <c r="C87" s="63"/>
      <c r="D87" s="80"/>
      <c r="E87" s="29">
        <f t="shared" si="1"/>
        <v>0</v>
      </c>
      <c r="F87" s="3"/>
      <c r="G87" s="53" t="s">
        <v>62</v>
      </c>
      <c r="H87" s="54"/>
      <c r="I87" s="312"/>
      <c r="J87" s="313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7" t="s">
        <v>19</v>
      </c>
      <c r="H88" s="58"/>
      <c r="I88" s="304">
        <f>'CEF Março 2019'!I88:J88</f>
        <v>0</v>
      </c>
      <c r="J88" s="305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27" t="s">
        <v>48</v>
      </c>
      <c r="H89" s="273"/>
      <c r="I89" s="306">
        <f>SUMIF($G$8:$G$61,G89,$E$8:$E$61)</f>
        <v>0</v>
      </c>
      <c r="J89" s="307"/>
      <c r="K89" s="24"/>
    </row>
    <row r="90" spans="1:11">
      <c r="A90" s="27" t="s">
        <v>150</v>
      </c>
      <c r="B90" s="63"/>
      <c r="C90" s="63"/>
      <c r="D90" s="80"/>
      <c r="E90" s="29">
        <f t="shared" si="1"/>
        <v>441.6</v>
      </c>
      <c r="F90" s="3"/>
      <c r="G90" s="272" t="s">
        <v>14</v>
      </c>
      <c r="H90" s="273"/>
      <c r="I90" s="306">
        <f>-SUMIF($G$8:$G$61,G90,$D$8:$D$61)</f>
        <v>0</v>
      </c>
      <c r="J90" s="307"/>
      <c r="K90" s="24"/>
    </row>
    <row r="91" spans="1:11">
      <c r="A91" s="27" t="s">
        <v>220</v>
      </c>
      <c r="B91" s="63"/>
      <c r="C91" s="63"/>
      <c r="D91" s="80"/>
      <c r="E91" s="29">
        <f t="shared" si="1"/>
        <v>11000</v>
      </c>
      <c r="F91" s="3"/>
      <c r="G91" s="30"/>
      <c r="H91" s="31"/>
      <c r="I91" s="314"/>
      <c r="J91" s="315"/>
      <c r="K91" s="24"/>
    </row>
    <row r="92" spans="1:11">
      <c r="A92" s="27" t="s">
        <v>151</v>
      </c>
      <c r="B92" s="41"/>
      <c r="C92" s="41"/>
      <c r="D92" s="80"/>
      <c r="E92" s="29">
        <f t="shared" si="1"/>
        <v>1878.3400000000001</v>
      </c>
      <c r="F92" s="3"/>
      <c r="G92" s="32" t="s">
        <v>17</v>
      </c>
      <c r="H92" s="31"/>
      <c r="I92" s="302">
        <f>SUM(I88:J91)</f>
        <v>0</v>
      </c>
      <c r="J92" s="303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71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21460.78</v>
      </c>
      <c r="F94" s="3"/>
      <c r="G94" s="36" t="s">
        <v>16</v>
      </c>
      <c r="H94" s="37"/>
      <c r="I94" s="66"/>
      <c r="J94" s="67"/>
      <c r="K94" s="24"/>
    </row>
    <row r="95" spans="1:11">
      <c r="A95" s="27" t="s">
        <v>272</v>
      </c>
      <c r="B95" s="63"/>
      <c r="C95" s="63"/>
      <c r="D95" s="80"/>
      <c r="E95" s="29">
        <f t="shared" si="1"/>
        <v>563.72</v>
      </c>
      <c r="F95" s="3"/>
      <c r="G95" s="272" t="s">
        <v>19</v>
      </c>
      <c r="H95" s="273"/>
      <c r="I95" s="308">
        <f>'CEF Maio 2020'!I106:J106</f>
        <v>62677.369999999239</v>
      </c>
      <c r="J95" s="309"/>
      <c r="K95" s="24"/>
    </row>
    <row r="96" spans="1:11">
      <c r="A96" s="27" t="s">
        <v>43</v>
      </c>
      <c r="B96" s="63"/>
      <c r="C96" s="63"/>
      <c r="D96" s="80"/>
      <c r="E96" s="29">
        <f t="shared" si="1"/>
        <v>2778.84</v>
      </c>
      <c r="F96" s="3"/>
      <c r="G96" s="272" t="s">
        <v>398</v>
      </c>
      <c r="H96" s="273"/>
      <c r="I96" s="291">
        <f>249997.75+16000+16408.72+10986.48</f>
        <v>293392.94999999995</v>
      </c>
      <c r="J96" s="292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72" t="s">
        <v>147</v>
      </c>
      <c r="H97" s="273"/>
      <c r="I97" s="306">
        <f>-SUMIF($G$8:$G$61,G97,$E$8:$E$61)</f>
        <v>-293392.95</v>
      </c>
      <c r="J97" s="307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30"/>
      <c r="H98" s="31"/>
      <c r="I98" s="300"/>
      <c r="J98" s="301"/>
      <c r="K98" s="24"/>
    </row>
    <row r="99" spans="1:13">
      <c r="A99" s="27" t="s">
        <v>146</v>
      </c>
      <c r="B99" s="63"/>
      <c r="C99" s="63"/>
      <c r="D99" s="80"/>
      <c r="E99" s="29">
        <f t="shared" si="1"/>
        <v>11000</v>
      </c>
      <c r="F99" s="3"/>
      <c r="G99" s="32" t="s">
        <v>18</v>
      </c>
      <c r="H99" s="31"/>
      <c r="I99" s="310">
        <f>SUM(I95:J98)</f>
        <v>62677.36999999918</v>
      </c>
      <c r="J99" s="311"/>
      <c r="K99" s="24"/>
      <c r="M99" s="39"/>
    </row>
    <row r="100" spans="1:13">
      <c r="A100" s="27" t="s">
        <v>34</v>
      </c>
      <c r="B100" s="63"/>
      <c r="C100" s="63"/>
      <c r="D100" s="80"/>
      <c r="E100" s="29">
        <f t="shared" si="1"/>
        <v>2352</v>
      </c>
      <c r="F100" s="3"/>
      <c r="G100" s="27"/>
      <c r="H100" s="26"/>
      <c r="I100" s="26"/>
      <c r="J100" s="42"/>
      <c r="K100" s="24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53" t="s">
        <v>39</v>
      </c>
      <c r="H101" s="54"/>
      <c r="I101" s="54"/>
      <c r="J101" s="55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99.35</v>
      </c>
      <c r="F102" s="3"/>
      <c r="G102" s="28" t="s">
        <v>40</v>
      </c>
      <c r="H102" s="34"/>
      <c r="I102" s="304">
        <f>'CEF Maio 2020'!I113:J113</f>
        <v>21460.78000000001</v>
      </c>
      <c r="J102" s="30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7" t="s">
        <v>402</v>
      </c>
      <c r="H103" s="41"/>
      <c r="I103" s="306">
        <v>21467.66</v>
      </c>
      <c r="J103" s="307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/>
      <c r="H104" s="56"/>
      <c r="I104" s="306"/>
      <c r="J104" s="307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59" t="s">
        <v>176</v>
      </c>
      <c r="H105" s="60"/>
      <c r="I105" s="300">
        <f>-SUMIF($G$8:$G$61,G105,$D$8:$D$61)</f>
        <v>-21460.78</v>
      </c>
      <c r="J105" s="301"/>
      <c r="K105" s="24"/>
    </row>
    <row r="106" spans="1:13">
      <c r="A106" s="62"/>
      <c r="B106" s="63"/>
      <c r="C106" s="63"/>
      <c r="D106" s="80"/>
      <c r="E106" s="29">
        <f t="shared" si="1"/>
        <v>0</v>
      </c>
      <c r="F106" s="3"/>
      <c r="G106" s="47" t="s">
        <v>17</v>
      </c>
      <c r="H106" s="48"/>
      <c r="I106" s="302">
        <f>SUM(I102:J105)</f>
        <v>21467.660000000011</v>
      </c>
      <c r="J106" s="303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49"/>
      <c r="H107" s="41"/>
      <c r="I107" s="41"/>
      <c r="J107" s="271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0" t="s">
        <v>41</v>
      </c>
      <c r="H108" s="51"/>
      <c r="I108" s="51"/>
      <c r="J108" s="52"/>
      <c r="K108" s="24"/>
    </row>
    <row r="109" spans="1:13">
      <c r="A109" s="30"/>
      <c r="B109" s="85"/>
      <c r="C109" s="85"/>
      <c r="D109" s="86"/>
      <c r="E109" s="87"/>
      <c r="F109" s="3"/>
      <c r="G109" s="27" t="s">
        <v>403</v>
      </c>
      <c r="H109" s="273"/>
      <c r="I109" s="291">
        <v>31299.41</v>
      </c>
      <c r="J109" s="292"/>
      <c r="K109" s="24"/>
    </row>
    <row r="110" spans="1:13">
      <c r="A110" s="297" t="s">
        <v>22</v>
      </c>
      <c r="B110" s="298"/>
      <c r="C110" s="298"/>
      <c r="D110" s="81"/>
      <c r="E110" s="35">
        <f>SUM(E72:E108)</f>
        <v>559725.32999999996</v>
      </c>
      <c r="F110" s="3"/>
      <c r="G110" s="27"/>
      <c r="H110" s="273"/>
      <c r="I110" s="291"/>
      <c r="J110" s="292"/>
      <c r="K110" s="24"/>
    </row>
    <row r="111" spans="1:13">
      <c r="E111" s="46">
        <f>D62-E110</f>
        <v>0</v>
      </c>
      <c r="F111" s="3"/>
      <c r="G111" s="27"/>
      <c r="H111" s="41"/>
      <c r="I111" s="295"/>
      <c r="J111" s="296"/>
      <c r="K111" s="24"/>
    </row>
    <row r="112" spans="1:13">
      <c r="F112" s="3"/>
      <c r="G112" s="89" t="s">
        <v>18</v>
      </c>
      <c r="H112" s="88"/>
      <c r="I112" s="302">
        <f>SUM(I109:J111)</f>
        <v>31299.41</v>
      </c>
      <c r="J112" s="303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274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4">
    <mergeCell ref="A67:K67"/>
    <mergeCell ref="A2:K2"/>
    <mergeCell ref="A4:K4"/>
    <mergeCell ref="A6:F6"/>
    <mergeCell ref="G6:K6"/>
    <mergeCell ref="A62:B62"/>
    <mergeCell ref="I81:J81"/>
    <mergeCell ref="A69:K69"/>
    <mergeCell ref="A71:E71"/>
    <mergeCell ref="G71:J71"/>
    <mergeCell ref="I72:J72"/>
    <mergeCell ref="G73:H73"/>
    <mergeCell ref="I73:J73"/>
    <mergeCell ref="I74:J74"/>
    <mergeCell ref="I75:J75"/>
    <mergeCell ref="I76:J76"/>
    <mergeCell ref="I77:J77"/>
    <mergeCell ref="I80:J80"/>
    <mergeCell ref="I95:J95"/>
    <mergeCell ref="G82:H82"/>
    <mergeCell ref="I82:J82"/>
    <mergeCell ref="I83:J83"/>
    <mergeCell ref="I84:J84"/>
    <mergeCell ref="I85:J85"/>
    <mergeCell ref="I87:J87"/>
    <mergeCell ref="I88:J88"/>
    <mergeCell ref="I89:J89"/>
    <mergeCell ref="I90:J90"/>
    <mergeCell ref="I91:J91"/>
    <mergeCell ref="I92:J92"/>
    <mergeCell ref="A110:C110"/>
    <mergeCell ref="I110:J110"/>
    <mergeCell ref="I96:J96"/>
    <mergeCell ref="I97:J97"/>
    <mergeCell ref="I98:J98"/>
    <mergeCell ref="I99:J99"/>
    <mergeCell ref="I102:J102"/>
    <mergeCell ref="I103:J103"/>
    <mergeCell ref="I111:J111"/>
    <mergeCell ref="I112:J112"/>
    <mergeCell ref="I104:J104"/>
    <mergeCell ref="I105:J105"/>
    <mergeCell ref="I106:J106"/>
    <mergeCell ref="I109:J10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7"/>
  <sheetViews>
    <sheetView topLeftCell="A16" workbookViewId="0">
      <selection activeCell="I65" sqref="I65:J65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393638.86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900.65</v>
      </c>
      <c r="C4" s="41"/>
      <c r="D4" s="144"/>
      <c r="E4" s="41"/>
      <c r="F4" s="41"/>
    </row>
    <row r="5" spans="1:10" ht="15.75" thickBot="1">
      <c r="A5" s="177"/>
      <c r="B5" s="256">
        <f>0.95+99</f>
        <v>99.95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688032.41</v>
      </c>
      <c r="C7" s="165"/>
      <c r="D7" s="144"/>
      <c r="E7" s="185"/>
      <c r="F7" s="41"/>
    </row>
    <row r="8" spans="1:10" ht="15.75" thickBot="1"/>
    <row r="9" spans="1:10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  <c r="J9" s="274" t="s">
        <v>399</v>
      </c>
    </row>
    <row r="10" spans="1:10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10" ht="24.95" customHeight="1" thickBot="1">
      <c r="A11" s="118" t="s">
        <v>211</v>
      </c>
      <c r="B11" s="257">
        <f>149630.91</f>
        <v>149630.91</v>
      </c>
      <c r="C11" s="258">
        <f>D37+D38+D40+D42+D43+D49+D51+D54</f>
        <v>121982.58</v>
      </c>
      <c r="D11" s="115"/>
      <c r="E11" s="260">
        <f t="shared" ref="E11:E27" si="0">C11+D11</f>
        <v>121982.58</v>
      </c>
      <c r="F11" s="261">
        <f>11327.62+85165.8+28815.56+352492.43+937.44+6792.38+18192.84</f>
        <v>503724.07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111299.99</v>
      </c>
      <c r="C17" s="258">
        <f>D34+D44+D55+D58+D59</f>
        <v>111790.26999999997</v>
      </c>
      <c r="D17" s="115"/>
      <c r="E17" s="260">
        <f t="shared" si="0"/>
        <v>111790.26999999997</v>
      </c>
      <c r="F17" s="261">
        <f>11925.51+111300</f>
        <v>123225.51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99.35</v>
      </c>
      <c r="C25" s="259"/>
      <c r="D25" s="258">
        <f>D61</f>
        <v>99.949999999999989</v>
      </c>
      <c r="E25" s="260">
        <f t="shared" si="0"/>
        <v>99.949999999999989</v>
      </c>
      <c r="F25" s="115"/>
    </row>
    <row r="26" spans="1:10" ht="24.95" customHeight="1" thickBot="1">
      <c r="A26" s="114" t="s">
        <v>196</v>
      </c>
      <c r="B26" s="259">
        <v>21467.66</v>
      </c>
      <c r="C26" s="259">
        <f>D53</f>
        <v>21460.78</v>
      </c>
      <c r="D26" s="111"/>
      <c r="E26" s="260">
        <f>C26+D26</f>
        <v>21460.78</v>
      </c>
      <c r="F26" s="262">
        <v>21467.66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282497.91000000003</v>
      </c>
      <c r="C28" s="152">
        <f>SUM(C11:C27)</f>
        <v>255233.62999999998</v>
      </c>
      <c r="D28" s="152">
        <f>SUM(D11:D27)</f>
        <v>99.949999999999989</v>
      </c>
      <c r="E28" s="152">
        <f>SUM(E11:E27)</f>
        <v>255333.58</v>
      </c>
      <c r="F28" s="152">
        <f>SUM(F11:F27)</f>
        <v>648417.24</v>
      </c>
      <c r="H28" s="244">
        <f>3232168.06-2583750.82</f>
        <v>648417.24000000022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293392.35000000003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94763.029999999984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11801.060000000001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82111.16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10265.960000000001</v>
      </c>
    </row>
    <row r="43" spans="1:4">
      <c r="A43" s="27" t="s">
        <v>282</v>
      </c>
      <c r="B43" s="266"/>
      <c r="C43" s="266"/>
      <c r="D43" s="182">
        <v>3593.12</v>
      </c>
    </row>
    <row r="44" spans="1:4">
      <c r="A44" s="27" t="s">
        <v>273</v>
      </c>
      <c r="B44" s="266"/>
      <c r="C44" s="266"/>
      <c r="D44" s="182">
        <v>896.4</v>
      </c>
    </row>
    <row r="45" spans="1:4">
      <c r="A45" s="27" t="s">
        <v>218</v>
      </c>
      <c r="B45" s="266"/>
      <c r="C45" s="266"/>
      <c r="D45" s="182">
        <v>0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/>
      <c r="E50" s="182">
        <v>11000</v>
      </c>
    </row>
    <row r="51" spans="1:5">
      <c r="A51" s="27" t="s">
        <v>151</v>
      </c>
      <c r="B51" s="266"/>
      <c r="C51" s="266"/>
      <c r="D51" s="182">
        <v>1878.3400000000001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21460.78</v>
      </c>
    </row>
    <row r="54" spans="1:5">
      <c r="A54" s="27" t="s">
        <v>272</v>
      </c>
      <c r="B54" s="266"/>
      <c r="C54" s="266"/>
      <c r="D54" s="182">
        <v>563.72</v>
      </c>
    </row>
    <row r="55" spans="1:5">
      <c r="A55" s="27" t="s">
        <v>43</v>
      </c>
      <c r="B55" s="266"/>
      <c r="C55" s="266"/>
      <c r="D55" s="182">
        <v>2778.84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11000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f>99.35+0.6</f>
        <v>99.949999999999989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35" t="s">
        <v>194</v>
      </c>
      <c r="B65" s="336"/>
      <c r="C65" s="294"/>
      <c r="D65" s="267">
        <f>SUM(D31:D63)</f>
        <v>255333.58</v>
      </c>
      <c r="E65" s="267">
        <f>SUM(E31:E63)</f>
        <v>304392.35000000003</v>
      </c>
      <c r="F65" s="46">
        <f>D65+E65</f>
        <v>559725.93000000005</v>
      </c>
    </row>
    <row r="66" spans="1:6">
      <c r="F66" s="46">
        <f>F65-'CEF Junho 2020'!E110</f>
        <v>0.60000000009313226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688032.41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255333.58000000002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432698.83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432698.83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opLeftCell="A70" workbookViewId="0">
      <selection activeCell="I65" sqref="I65:J65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405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2020'!F62</f>
        <v>0</v>
      </c>
      <c r="G9" s="9"/>
      <c r="H9" s="7"/>
      <c r="I9" s="4"/>
      <c r="J9" s="19"/>
      <c r="K9" s="16"/>
    </row>
    <row r="10" spans="1:11">
      <c r="A10" s="15">
        <v>44013</v>
      </c>
      <c r="B10" s="4">
        <v>727220</v>
      </c>
      <c r="C10" s="4" t="s">
        <v>60</v>
      </c>
      <c r="D10" s="77"/>
      <c r="E10" s="77">
        <v>11327.62</v>
      </c>
      <c r="F10" s="6">
        <f t="shared" ref="F10:F52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44013</v>
      </c>
      <c r="B11" s="4">
        <v>530576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703575</v>
      </c>
      <c r="J11" s="19">
        <v>28</v>
      </c>
      <c r="K11" s="16">
        <v>44018</v>
      </c>
    </row>
    <row r="12" spans="1:11">
      <c r="A12" s="15">
        <v>44014</v>
      </c>
      <c r="B12" s="4">
        <v>727220</v>
      </c>
      <c r="C12" s="4" t="s">
        <v>60</v>
      </c>
      <c r="D12" s="77"/>
      <c r="E12" s="77">
        <v>4894.63</v>
      </c>
      <c r="F12" s="6">
        <f t="shared" si="0"/>
        <v>4894.63</v>
      </c>
      <c r="G12" s="9" t="s">
        <v>145</v>
      </c>
      <c r="H12" s="7"/>
      <c r="I12" s="4"/>
      <c r="J12" s="19"/>
      <c r="K12" s="16"/>
    </row>
    <row r="13" spans="1:11">
      <c r="A13" s="15">
        <v>44014</v>
      </c>
      <c r="B13" s="4">
        <v>300464</v>
      </c>
      <c r="C13" s="4" t="s">
        <v>57</v>
      </c>
      <c r="D13" s="77">
        <v>2958.7200000000003</v>
      </c>
      <c r="E13" s="5"/>
      <c r="F13" s="6">
        <f t="shared" si="0"/>
        <v>1935.9099999999999</v>
      </c>
      <c r="G13" s="9" t="s">
        <v>271</v>
      </c>
      <c r="H13" s="7" t="s">
        <v>113</v>
      </c>
      <c r="I13" s="4"/>
      <c r="J13" s="19"/>
      <c r="K13" s="16"/>
    </row>
    <row r="14" spans="1:11">
      <c r="A14" s="15">
        <v>44014</v>
      </c>
      <c r="B14" s="4">
        <v>300463</v>
      </c>
      <c r="C14" s="4" t="s">
        <v>57</v>
      </c>
      <c r="D14" s="77">
        <v>1935.91</v>
      </c>
      <c r="E14" s="5"/>
      <c r="F14" s="6">
        <f t="shared" si="0"/>
        <v>-2.2737367544323206E-13</v>
      </c>
      <c r="G14" s="9" t="s">
        <v>271</v>
      </c>
      <c r="H14" s="7" t="s">
        <v>79</v>
      </c>
      <c r="I14" s="4"/>
      <c r="J14" s="19"/>
      <c r="K14" s="16"/>
    </row>
    <row r="15" spans="1:11">
      <c r="A15" s="15">
        <v>44018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87318.02</v>
      </c>
      <c r="G15" s="9" t="s">
        <v>147</v>
      </c>
      <c r="H15" s="7"/>
      <c r="I15" s="4"/>
      <c r="J15" s="19"/>
      <c r="K15" s="16"/>
    </row>
    <row r="16" spans="1:11">
      <c r="A16" s="15">
        <v>44018</v>
      </c>
      <c r="B16" s="4">
        <v>160451</v>
      </c>
      <c r="C16" s="4" t="s">
        <v>55</v>
      </c>
      <c r="D16" s="77">
        <v>495.84000000000003</v>
      </c>
      <c r="E16" s="5"/>
      <c r="F16" s="6">
        <f t="shared" si="0"/>
        <v>86822.180000000008</v>
      </c>
      <c r="G16" s="9" t="s">
        <v>272</v>
      </c>
      <c r="H16" s="7" t="s">
        <v>117</v>
      </c>
      <c r="I16" s="4">
        <v>18</v>
      </c>
      <c r="J16" s="19">
        <v>1</v>
      </c>
      <c r="K16" s="16"/>
    </row>
    <row r="17" spans="1:11">
      <c r="A17" s="15">
        <v>44018</v>
      </c>
      <c r="B17" s="4">
        <v>309379</v>
      </c>
      <c r="C17" s="4" t="s">
        <v>172</v>
      </c>
      <c r="D17" s="77">
        <v>85165.8</v>
      </c>
      <c r="E17" s="5"/>
      <c r="F17" s="6">
        <f t="shared" si="0"/>
        <v>1656.3800000000047</v>
      </c>
      <c r="G17" s="9" t="s">
        <v>270</v>
      </c>
      <c r="H17" s="7"/>
      <c r="I17" s="4"/>
      <c r="J17" s="19"/>
      <c r="K17" s="16"/>
    </row>
    <row r="18" spans="1:11">
      <c r="A18" s="15">
        <v>44018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207731.31</v>
      </c>
      <c r="G18" s="9" t="s">
        <v>147</v>
      </c>
      <c r="H18" s="7"/>
      <c r="I18" s="4"/>
      <c r="J18" s="19"/>
      <c r="K18" s="16"/>
    </row>
    <row r="19" spans="1:11">
      <c r="A19" s="15">
        <v>44018</v>
      </c>
      <c r="B19" s="4">
        <v>62020</v>
      </c>
      <c r="C19" s="4" t="s">
        <v>188</v>
      </c>
      <c r="D19" s="77">
        <v>99</v>
      </c>
      <c r="E19" s="5"/>
      <c r="F19" s="6">
        <f t="shared" si="0"/>
        <v>207632.31</v>
      </c>
      <c r="G19" s="9" t="s">
        <v>72</v>
      </c>
      <c r="H19" s="7"/>
      <c r="I19" s="4"/>
      <c r="J19" s="19"/>
      <c r="K19" s="16"/>
    </row>
    <row r="20" spans="1:11">
      <c r="A20" s="15">
        <v>44019</v>
      </c>
      <c r="B20" s="4">
        <v>636539</v>
      </c>
      <c r="C20" s="4" t="s">
        <v>58</v>
      </c>
      <c r="D20" s="77">
        <v>207632.31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44021</v>
      </c>
      <c r="B21" s="4">
        <v>300462</v>
      </c>
      <c r="C21" s="4" t="s">
        <v>57</v>
      </c>
      <c r="D21" s="77">
        <v>2689.25</v>
      </c>
      <c r="E21" s="5"/>
      <c r="F21" s="6">
        <f t="shared" si="0"/>
        <v>-2689.25</v>
      </c>
      <c r="G21" s="9" t="s">
        <v>271</v>
      </c>
      <c r="H21" s="7" t="s">
        <v>93</v>
      </c>
      <c r="I21" s="4"/>
      <c r="J21" s="19"/>
      <c r="K21" s="16"/>
    </row>
    <row r="22" spans="1:11">
      <c r="A22" s="15">
        <v>44021</v>
      </c>
      <c r="B22" s="4">
        <v>727220</v>
      </c>
      <c r="C22" s="4" t="s">
        <v>60</v>
      </c>
      <c r="D22" s="77"/>
      <c r="E22" s="77">
        <v>2689.25</v>
      </c>
      <c r="F22" s="6">
        <f t="shared" si="0"/>
        <v>0</v>
      </c>
      <c r="G22" s="9" t="s">
        <v>145</v>
      </c>
      <c r="H22" s="7"/>
      <c r="I22" s="4"/>
      <c r="J22" s="19"/>
      <c r="K22" s="16"/>
    </row>
    <row r="23" spans="1:11">
      <c r="A23" s="15">
        <v>44022</v>
      </c>
      <c r="B23" s="4">
        <v>694175</v>
      </c>
      <c r="C23" s="4" t="s">
        <v>216</v>
      </c>
      <c r="D23" s="77">
        <v>1802.56</v>
      </c>
      <c r="E23" s="5"/>
      <c r="F23" s="6">
        <f t="shared" si="0"/>
        <v>-1802.56</v>
      </c>
      <c r="G23" s="9" t="s">
        <v>218</v>
      </c>
      <c r="H23" s="7" t="s">
        <v>222</v>
      </c>
      <c r="I23" s="4">
        <v>889311142</v>
      </c>
      <c r="J23" s="19">
        <v>1</v>
      </c>
      <c r="K23" s="16">
        <v>44021</v>
      </c>
    </row>
    <row r="24" spans="1:11">
      <c r="A24" s="15">
        <v>44022</v>
      </c>
      <c r="B24" s="4">
        <v>300460</v>
      </c>
      <c r="C24" s="4" t="s">
        <v>57</v>
      </c>
      <c r="D24" s="77">
        <v>1587</v>
      </c>
      <c r="E24" s="5"/>
      <c r="F24" s="6">
        <f t="shared" si="0"/>
        <v>-3389.56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44022</v>
      </c>
      <c r="B25" s="4">
        <v>300461</v>
      </c>
      <c r="C25" s="4" t="s">
        <v>57</v>
      </c>
      <c r="D25" s="77">
        <v>3269.4700000000003</v>
      </c>
      <c r="E25" s="5"/>
      <c r="F25" s="6">
        <f t="shared" si="0"/>
        <v>-6659.0300000000007</v>
      </c>
      <c r="G25" s="9" t="s">
        <v>271</v>
      </c>
      <c r="H25" s="7" t="s">
        <v>158</v>
      </c>
      <c r="I25" s="4"/>
      <c r="J25" s="19"/>
      <c r="K25" s="16"/>
    </row>
    <row r="26" spans="1:11">
      <c r="A26" s="15">
        <v>44022</v>
      </c>
      <c r="B26" s="4">
        <v>727220</v>
      </c>
      <c r="C26" s="4" t="s">
        <v>60</v>
      </c>
      <c r="D26" s="77"/>
      <c r="E26" s="77">
        <v>6659.03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44027</v>
      </c>
      <c r="B27" s="4">
        <v>727220</v>
      </c>
      <c r="C27" s="4" t="s">
        <v>60</v>
      </c>
      <c r="D27" s="77"/>
      <c r="E27" s="77">
        <v>104797.85</v>
      </c>
      <c r="F27" s="6">
        <f t="shared" si="0"/>
        <v>104797.85</v>
      </c>
      <c r="G27" s="9" t="s">
        <v>145</v>
      </c>
      <c r="H27" s="7"/>
      <c r="I27" s="4"/>
      <c r="J27" s="19"/>
      <c r="K27" s="16"/>
    </row>
    <row r="28" spans="1:11">
      <c r="A28" s="15">
        <v>44027</v>
      </c>
      <c r="B28" s="4">
        <v>300467</v>
      </c>
      <c r="C28" s="4" t="s">
        <v>57</v>
      </c>
      <c r="D28" s="77">
        <v>11000</v>
      </c>
      <c r="E28" s="5"/>
      <c r="F28" s="6">
        <f t="shared" si="0"/>
        <v>93797.85</v>
      </c>
      <c r="G28" s="9" t="s">
        <v>174</v>
      </c>
      <c r="H28" s="7" t="s">
        <v>369</v>
      </c>
      <c r="I28" s="4">
        <v>18</v>
      </c>
      <c r="J28" s="19">
        <v>6</v>
      </c>
      <c r="K28" s="16">
        <v>44018</v>
      </c>
    </row>
    <row r="29" spans="1:11">
      <c r="A29" s="15">
        <v>44027</v>
      </c>
      <c r="B29" s="4">
        <v>300472</v>
      </c>
      <c r="C29" s="4" t="s">
        <v>57</v>
      </c>
      <c r="D29" s="77">
        <v>4054.32</v>
      </c>
      <c r="E29" s="5"/>
      <c r="F29" s="6">
        <f t="shared" si="0"/>
        <v>89743.53</v>
      </c>
      <c r="G29" s="9" t="s">
        <v>174</v>
      </c>
      <c r="H29" s="7" t="s">
        <v>341</v>
      </c>
      <c r="I29" s="4">
        <v>345</v>
      </c>
      <c r="J29" s="19">
        <v>10</v>
      </c>
      <c r="K29" s="16">
        <v>44018</v>
      </c>
    </row>
    <row r="30" spans="1:11">
      <c r="A30" s="15">
        <v>44027</v>
      </c>
      <c r="B30" s="4">
        <v>300465</v>
      </c>
      <c r="C30" s="4" t="s">
        <v>57</v>
      </c>
      <c r="D30" s="77">
        <v>4905.9000000000005</v>
      </c>
      <c r="E30" s="5"/>
      <c r="F30" s="6">
        <f t="shared" si="0"/>
        <v>84837.63</v>
      </c>
      <c r="G30" s="9" t="s">
        <v>174</v>
      </c>
      <c r="H30" s="7" t="s">
        <v>352</v>
      </c>
      <c r="I30" s="4">
        <v>65</v>
      </c>
      <c r="J30" s="19">
        <v>8</v>
      </c>
      <c r="K30" s="16">
        <v>44018</v>
      </c>
    </row>
    <row r="31" spans="1:11">
      <c r="A31" s="15">
        <v>44027</v>
      </c>
      <c r="B31" s="4">
        <v>300468</v>
      </c>
      <c r="C31" s="4" t="s">
        <v>57</v>
      </c>
      <c r="D31" s="77">
        <v>11000</v>
      </c>
      <c r="E31" s="5"/>
      <c r="F31" s="6">
        <f t="shared" si="0"/>
        <v>73837.63</v>
      </c>
      <c r="G31" s="9" t="s">
        <v>174</v>
      </c>
      <c r="H31" s="7" t="s">
        <v>361</v>
      </c>
      <c r="I31" s="4">
        <v>61</v>
      </c>
      <c r="J31" s="19">
        <v>4</v>
      </c>
      <c r="K31" s="16">
        <v>44019</v>
      </c>
    </row>
    <row r="32" spans="1:11">
      <c r="A32" s="15">
        <v>44027</v>
      </c>
      <c r="B32" s="4">
        <v>300474</v>
      </c>
      <c r="C32" s="4" t="s">
        <v>57</v>
      </c>
      <c r="D32" s="77">
        <v>4605.54</v>
      </c>
      <c r="E32" s="5"/>
      <c r="F32" s="6">
        <f t="shared" si="0"/>
        <v>69232.090000000011</v>
      </c>
      <c r="G32" s="9" t="s">
        <v>174</v>
      </c>
      <c r="H32" s="7" t="s">
        <v>394</v>
      </c>
      <c r="I32" s="4">
        <v>38</v>
      </c>
      <c r="J32" s="19">
        <v>23</v>
      </c>
      <c r="K32" s="16">
        <v>44018</v>
      </c>
    </row>
    <row r="33" spans="1:11">
      <c r="A33" s="15">
        <v>44027</v>
      </c>
      <c r="B33" s="4">
        <v>300466</v>
      </c>
      <c r="C33" s="4" t="s">
        <v>57</v>
      </c>
      <c r="D33" s="77">
        <v>11880</v>
      </c>
      <c r="E33" s="5"/>
      <c r="F33" s="6">
        <f t="shared" si="0"/>
        <v>57352.090000000011</v>
      </c>
      <c r="G33" s="9" t="s">
        <v>174</v>
      </c>
      <c r="H33" s="7" t="s">
        <v>302</v>
      </c>
      <c r="I33" s="4">
        <v>134</v>
      </c>
      <c r="J33" s="19">
        <v>3</v>
      </c>
      <c r="K33" s="16">
        <v>44018</v>
      </c>
    </row>
    <row r="34" spans="1:11">
      <c r="A34" s="15">
        <v>44027</v>
      </c>
      <c r="B34" s="4">
        <v>300471</v>
      </c>
      <c r="C34" s="4" t="s">
        <v>57</v>
      </c>
      <c r="D34" s="77">
        <v>18828.55</v>
      </c>
      <c r="E34" s="5"/>
      <c r="F34" s="6">
        <f t="shared" si="0"/>
        <v>38523.540000000008</v>
      </c>
      <c r="G34" s="9" t="s">
        <v>174</v>
      </c>
      <c r="H34" s="7" t="s">
        <v>128</v>
      </c>
      <c r="I34" s="4">
        <v>68</v>
      </c>
      <c r="J34" s="19">
        <v>22</v>
      </c>
      <c r="K34" s="16">
        <v>44018</v>
      </c>
    </row>
    <row r="35" spans="1:11">
      <c r="A35" s="15">
        <v>44027</v>
      </c>
      <c r="B35" s="4">
        <v>300470</v>
      </c>
      <c r="C35" s="4" t="s">
        <v>57</v>
      </c>
      <c r="D35" s="77">
        <v>17661.240000000002</v>
      </c>
      <c r="E35" s="5"/>
      <c r="F35" s="6">
        <f t="shared" si="0"/>
        <v>20862.300000000007</v>
      </c>
      <c r="G35" s="9" t="s">
        <v>174</v>
      </c>
      <c r="H35" s="7" t="s">
        <v>224</v>
      </c>
      <c r="I35" s="4">
        <v>55</v>
      </c>
      <c r="J35" s="19">
        <v>11</v>
      </c>
      <c r="K35" s="16">
        <v>44018</v>
      </c>
    </row>
    <row r="36" spans="1:11">
      <c r="A36" s="15">
        <v>44027</v>
      </c>
      <c r="B36" s="4">
        <v>300469</v>
      </c>
      <c r="C36" s="4" t="s">
        <v>57</v>
      </c>
      <c r="D36" s="77">
        <v>16329.9</v>
      </c>
      <c r="E36" s="5"/>
      <c r="F36" s="6">
        <f t="shared" si="0"/>
        <v>4532.4000000000069</v>
      </c>
      <c r="G36" s="9" t="s">
        <v>174</v>
      </c>
      <c r="H36" s="7" t="s">
        <v>127</v>
      </c>
      <c r="I36" s="4">
        <v>93</v>
      </c>
      <c r="J36" s="19">
        <v>4</v>
      </c>
      <c r="K36" s="16">
        <v>44018</v>
      </c>
    </row>
    <row r="37" spans="1:11">
      <c r="A37" s="15">
        <v>44027</v>
      </c>
      <c r="B37" s="4">
        <v>300473</v>
      </c>
      <c r="C37" s="4" t="s">
        <v>57</v>
      </c>
      <c r="D37" s="77">
        <v>2180.4</v>
      </c>
      <c r="E37" s="5"/>
      <c r="F37" s="6">
        <f t="shared" si="0"/>
        <v>2352.0000000000068</v>
      </c>
      <c r="G37" s="9" t="s">
        <v>174</v>
      </c>
      <c r="H37" s="7" t="s">
        <v>343</v>
      </c>
      <c r="I37" s="4">
        <v>1020</v>
      </c>
      <c r="J37" s="19">
        <v>10</v>
      </c>
      <c r="K37" s="16">
        <v>44013</v>
      </c>
    </row>
    <row r="38" spans="1:11">
      <c r="A38" s="15">
        <v>44027</v>
      </c>
      <c r="B38" s="4">
        <v>151550</v>
      </c>
      <c r="C38" s="4" t="s">
        <v>173</v>
      </c>
      <c r="D38" s="77">
        <v>2352</v>
      </c>
      <c r="E38" s="5"/>
      <c r="F38" s="6">
        <f t="shared" si="0"/>
        <v>6.8212102632969618E-12</v>
      </c>
      <c r="G38" s="9" t="s">
        <v>34</v>
      </c>
      <c r="H38" s="7" t="s">
        <v>223</v>
      </c>
      <c r="I38" s="4">
        <v>634</v>
      </c>
      <c r="J38" s="19">
        <v>2</v>
      </c>
      <c r="K38" s="16">
        <v>44015</v>
      </c>
    </row>
    <row r="39" spans="1:11">
      <c r="A39" s="15">
        <v>44029</v>
      </c>
      <c r="B39" s="4">
        <v>300475</v>
      </c>
      <c r="C39" s="4" t="s">
        <v>57</v>
      </c>
      <c r="D39" s="77">
        <v>1944.26</v>
      </c>
      <c r="E39" s="5"/>
      <c r="F39" s="6">
        <f t="shared" si="0"/>
        <v>-1944.2599999999932</v>
      </c>
      <c r="G39" s="9" t="s">
        <v>174</v>
      </c>
      <c r="H39" s="7" t="s">
        <v>310</v>
      </c>
      <c r="I39" s="4">
        <v>101</v>
      </c>
      <c r="J39" s="19">
        <v>2</v>
      </c>
      <c r="K39" s="16">
        <v>44025</v>
      </c>
    </row>
    <row r="40" spans="1:11">
      <c r="A40" s="15">
        <v>44029</v>
      </c>
      <c r="B40" s="4">
        <v>727220</v>
      </c>
      <c r="C40" s="4" t="s">
        <v>60</v>
      </c>
      <c r="D40" s="77"/>
      <c r="E40" s="77">
        <v>1944.26</v>
      </c>
      <c r="F40" s="6">
        <f t="shared" si="0"/>
        <v>6.8212102632969618E-12</v>
      </c>
      <c r="G40" s="9" t="s">
        <v>145</v>
      </c>
      <c r="H40" s="7"/>
      <c r="I40" s="4"/>
      <c r="J40" s="19"/>
      <c r="K40" s="16"/>
    </row>
    <row r="41" spans="1:11">
      <c r="A41" s="15">
        <v>44032</v>
      </c>
      <c r="B41" s="4">
        <v>449538</v>
      </c>
      <c r="C41" s="4" t="s">
        <v>53</v>
      </c>
      <c r="D41" s="77">
        <v>314.51</v>
      </c>
      <c r="E41" s="5"/>
      <c r="F41" s="6">
        <f t="shared" si="0"/>
        <v>-314.50999999999317</v>
      </c>
      <c r="G41" s="9" t="s">
        <v>282</v>
      </c>
      <c r="H41" s="7" t="s">
        <v>256</v>
      </c>
      <c r="I41" s="4">
        <v>43</v>
      </c>
      <c r="J41" s="19">
        <v>1</v>
      </c>
      <c r="K41" s="16">
        <v>44021</v>
      </c>
    </row>
    <row r="42" spans="1:11">
      <c r="A42" s="15">
        <v>44032</v>
      </c>
      <c r="B42" s="4">
        <v>727220</v>
      </c>
      <c r="C42" s="4" t="s">
        <v>60</v>
      </c>
      <c r="D42" s="77"/>
      <c r="E42" s="77">
        <v>17482.920000000002</v>
      </c>
      <c r="F42" s="6">
        <f t="shared" si="0"/>
        <v>17168.410000000007</v>
      </c>
      <c r="G42" s="9" t="s">
        <v>145</v>
      </c>
      <c r="H42" s="7"/>
      <c r="I42" s="4"/>
      <c r="J42" s="19"/>
      <c r="K42" s="16"/>
    </row>
    <row r="43" spans="1:11">
      <c r="A43" s="15">
        <v>44032</v>
      </c>
      <c r="B43" s="4">
        <v>440016</v>
      </c>
      <c r="C43" s="4" t="s">
        <v>53</v>
      </c>
      <c r="D43" s="77">
        <v>864</v>
      </c>
      <c r="E43" s="5"/>
      <c r="F43" s="6">
        <f t="shared" si="0"/>
        <v>16304.410000000007</v>
      </c>
      <c r="G43" s="9" t="s">
        <v>273</v>
      </c>
      <c r="H43" s="7" t="s">
        <v>257</v>
      </c>
      <c r="I43" s="4">
        <v>97</v>
      </c>
      <c r="J43" s="19">
        <v>1</v>
      </c>
      <c r="K43" s="16">
        <v>44032</v>
      </c>
    </row>
    <row r="44" spans="1:11">
      <c r="A44" s="15">
        <v>44032</v>
      </c>
      <c r="B44" s="4">
        <v>847639</v>
      </c>
      <c r="C44" s="4" t="s">
        <v>54</v>
      </c>
      <c r="D44" s="77">
        <v>10121.67</v>
      </c>
      <c r="E44" s="5"/>
      <c r="F44" s="6">
        <f t="shared" si="0"/>
        <v>6182.7400000000071</v>
      </c>
      <c r="G44" s="9" t="s">
        <v>29</v>
      </c>
      <c r="H44" s="7" t="s">
        <v>116</v>
      </c>
      <c r="I44" s="4">
        <v>27</v>
      </c>
      <c r="J44" s="19">
        <v>1</v>
      </c>
      <c r="K44" s="16">
        <v>44021</v>
      </c>
    </row>
    <row r="45" spans="1:11">
      <c r="A45" s="15">
        <v>44032</v>
      </c>
      <c r="B45" s="4">
        <v>449695</v>
      </c>
      <c r="C45" s="4" t="s">
        <v>53</v>
      </c>
      <c r="D45" s="77">
        <v>3062.7400000000002</v>
      </c>
      <c r="E45" s="5"/>
      <c r="F45" s="6">
        <f t="shared" si="0"/>
        <v>3120.0000000000068</v>
      </c>
      <c r="G45" s="9" t="s">
        <v>282</v>
      </c>
      <c r="H45" s="7" t="s">
        <v>256</v>
      </c>
      <c r="I45" s="4">
        <v>41</v>
      </c>
      <c r="J45" s="19">
        <v>1</v>
      </c>
      <c r="K45" s="16">
        <v>44021</v>
      </c>
    </row>
    <row r="46" spans="1:11">
      <c r="A46" s="15">
        <v>44032</v>
      </c>
      <c r="B46" s="4">
        <v>780017</v>
      </c>
      <c r="C46" s="4" t="s">
        <v>52</v>
      </c>
      <c r="D46" s="77">
        <v>441.6</v>
      </c>
      <c r="E46" s="5"/>
      <c r="F46" s="6">
        <f t="shared" si="0"/>
        <v>2678.4000000000069</v>
      </c>
      <c r="G46" s="9" t="s">
        <v>150</v>
      </c>
      <c r="H46" s="7" t="s">
        <v>161</v>
      </c>
      <c r="I46" s="4">
        <v>1</v>
      </c>
      <c r="J46" s="19">
        <v>1</v>
      </c>
      <c r="K46" s="16"/>
    </row>
    <row r="47" spans="1:11">
      <c r="A47" s="15">
        <v>44032</v>
      </c>
      <c r="B47" s="4">
        <v>449859</v>
      </c>
      <c r="C47" s="4" t="s">
        <v>53</v>
      </c>
      <c r="D47" s="77">
        <v>2678.4</v>
      </c>
      <c r="E47" s="5"/>
      <c r="F47" s="6">
        <f t="shared" si="0"/>
        <v>6.8212102632969618E-12</v>
      </c>
      <c r="G47" s="9" t="s">
        <v>43</v>
      </c>
      <c r="H47" s="7" t="s">
        <v>134</v>
      </c>
      <c r="I47" s="4">
        <v>98</v>
      </c>
      <c r="J47" s="19">
        <v>1</v>
      </c>
      <c r="K47" s="16">
        <v>44032</v>
      </c>
    </row>
    <row r="48" spans="1:11">
      <c r="A48" s="15">
        <v>44040</v>
      </c>
      <c r="B48" s="4">
        <v>727220</v>
      </c>
      <c r="C48" s="4" t="s">
        <v>60</v>
      </c>
      <c r="D48" s="77"/>
      <c r="E48" s="77">
        <v>21467.66</v>
      </c>
      <c r="F48" s="6">
        <f t="shared" si="0"/>
        <v>21467.660000000007</v>
      </c>
      <c r="G48" s="9" t="s">
        <v>145</v>
      </c>
      <c r="H48" s="7"/>
      <c r="I48" s="4"/>
      <c r="J48" s="19"/>
      <c r="K48" s="16"/>
    </row>
    <row r="49" spans="1:11">
      <c r="A49" s="15">
        <v>44040</v>
      </c>
      <c r="B49" s="4">
        <v>281644</v>
      </c>
      <c r="C49" s="4" t="s">
        <v>47</v>
      </c>
      <c r="D49" s="77">
        <v>21467.66</v>
      </c>
      <c r="E49" s="5"/>
      <c r="F49" s="6">
        <f t="shared" si="0"/>
        <v>7.2759576141834259E-12</v>
      </c>
      <c r="G49" s="9" t="s">
        <v>176</v>
      </c>
      <c r="H49" s="7"/>
      <c r="I49" s="4"/>
      <c r="J49" s="19"/>
      <c r="K49" s="16"/>
    </row>
    <row r="50" spans="1:11">
      <c r="A50" s="15">
        <v>44043</v>
      </c>
      <c r="B50" s="4">
        <v>311550</v>
      </c>
      <c r="C50" s="4" t="s">
        <v>47</v>
      </c>
      <c r="D50" s="77">
        <v>18192.84</v>
      </c>
      <c r="E50" s="5"/>
      <c r="F50" s="6">
        <f t="shared" si="0"/>
        <v>-18192.839999999993</v>
      </c>
      <c r="G50" s="9" t="s">
        <v>151</v>
      </c>
      <c r="H50" s="7"/>
      <c r="I50" s="4"/>
      <c r="J50" s="19"/>
      <c r="K50" s="16"/>
    </row>
    <row r="51" spans="1:11">
      <c r="A51" s="15">
        <v>44043</v>
      </c>
      <c r="B51" s="4">
        <v>727220</v>
      </c>
      <c r="C51" s="4" t="s">
        <v>60</v>
      </c>
      <c r="D51" s="77"/>
      <c r="E51" s="77">
        <v>18093.84</v>
      </c>
      <c r="F51" s="6">
        <f t="shared" si="0"/>
        <v>-98.999999999992724</v>
      </c>
      <c r="G51" s="9" t="s">
        <v>145</v>
      </c>
      <c r="H51" s="7"/>
      <c r="I51" s="4"/>
      <c r="J51" s="19"/>
      <c r="K51" s="16"/>
    </row>
    <row r="52" spans="1:11">
      <c r="A52" s="15">
        <v>44043</v>
      </c>
      <c r="B52" s="4">
        <v>311618</v>
      </c>
      <c r="C52" s="4" t="s">
        <v>44</v>
      </c>
      <c r="D52" s="77"/>
      <c r="E52" s="77">
        <v>99</v>
      </c>
      <c r="F52" s="6">
        <f t="shared" si="0"/>
        <v>7.2759576141834259E-12</v>
      </c>
      <c r="G52" s="276" t="s">
        <v>234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24" t="s">
        <v>12</v>
      </c>
      <c r="B54" s="325"/>
      <c r="C54" s="21"/>
      <c r="D54" s="78">
        <f>SUM(D10:D53)</f>
        <v>482849.01</v>
      </c>
      <c r="E54" s="40">
        <f>SUM(E10:E53)</f>
        <v>482849.01000000007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299" t="s">
        <v>123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</row>
    <row r="60" spans="1:11" ht="18" customHeight="1"/>
    <row r="61" spans="1:11" ht="18" customHeight="1">
      <c r="A61" s="318" t="s">
        <v>406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19" t="s">
        <v>21</v>
      </c>
      <c r="B63" s="320"/>
      <c r="C63" s="320"/>
      <c r="D63" s="320"/>
      <c r="E63" s="321"/>
      <c r="F63" s="3"/>
      <c r="G63" s="322" t="s">
        <v>20</v>
      </c>
      <c r="H63" s="322"/>
      <c r="I63" s="322"/>
      <c r="J63" s="322"/>
      <c r="K63" s="24"/>
    </row>
    <row r="64" spans="1:11">
      <c r="A64" s="28" t="s">
        <v>233</v>
      </c>
      <c r="B64" s="44"/>
      <c r="C64" s="44"/>
      <c r="D64" s="79"/>
      <c r="E64" s="33">
        <f t="shared" ref="E64:E100" si="1">SUMIF($G$8:$G$53,A64,$D$8:$D$53)</f>
        <v>0</v>
      </c>
      <c r="F64" s="3"/>
      <c r="G64" s="62" t="s">
        <v>147</v>
      </c>
      <c r="H64" s="26"/>
      <c r="I64" s="306">
        <f>SUMIF($G$8:$G$53,G64,$E$8:$E$53)</f>
        <v>293392.95</v>
      </c>
      <c r="J64" s="307"/>
      <c r="K64" s="24"/>
    </row>
    <row r="65" spans="1:13">
      <c r="A65" s="27" t="s">
        <v>149</v>
      </c>
      <c r="B65" s="63"/>
      <c r="C65" s="63"/>
      <c r="D65" s="80"/>
      <c r="E65" s="29">
        <f t="shared" si="1"/>
        <v>207632.31</v>
      </c>
      <c r="F65" s="3"/>
      <c r="G65" s="316" t="s">
        <v>145</v>
      </c>
      <c r="H65" s="317"/>
      <c r="I65" s="306">
        <f>SUMIF($G$8:$G$53,G65,$E$8:$E$53)</f>
        <v>189357.06000000003</v>
      </c>
      <c r="J65" s="307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6" t="s">
        <v>234</v>
      </c>
      <c r="H66" s="277"/>
      <c r="I66" s="306">
        <f>SUMIF($G$8:$G$53,G66,$E$8:$E$53)</f>
        <v>99</v>
      </c>
      <c r="J66" s="307"/>
      <c r="K66" s="24"/>
      <c r="M66" s="274" t="s">
        <v>344</v>
      </c>
    </row>
    <row r="67" spans="1:13">
      <c r="A67" s="27" t="s">
        <v>174</v>
      </c>
      <c r="B67" s="63"/>
      <c r="C67" s="63"/>
      <c r="D67" s="80"/>
      <c r="E67" s="29">
        <f t="shared" si="1"/>
        <v>104390.10999999999</v>
      </c>
      <c r="F67" s="3"/>
      <c r="G67" s="62" t="s">
        <v>232</v>
      </c>
      <c r="H67" s="26"/>
      <c r="I67" s="306">
        <f>SUMIF($G$8:$G$53,G67,$E$8:$E$53)</f>
        <v>0</v>
      </c>
      <c r="J67" s="307"/>
      <c r="K67" s="24"/>
    </row>
    <row r="68" spans="1:13">
      <c r="A68" s="27" t="s">
        <v>177</v>
      </c>
      <c r="B68" s="63"/>
      <c r="C68" s="63"/>
      <c r="D68" s="80"/>
      <c r="E68" s="29">
        <f t="shared" si="1"/>
        <v>0</v>
      </c>
      <c r="F68" s="3"/>
      <c r="G68" s="62"/>
      <c r="H68" s="26"/>
      <c r="I68" s="306"/>
      <c r="J68" s="307"/>
      <c r="K68" s="24"/>
    </row>
    <row r="69" spans="1:13">
      <c r="A69" s="27" t="s">
        <v>255</v>
      </c>
      <c r="B69" s="63"/>
      <c r="C69" s="63"/>
      <c r="D69" s="80"/>
      <c r="E69" s="29">
        <f t="shared" si="1"/>
        <v>0</v>
      </c>
      <c r="F69" s="3"/>
      <c r="G69" s="47" t="s">
        <v>22</v>
      </c>
      <c r="H69" s="48"/>
      <c r="I69" s="302">
        <f>SUM(I64:J68)</f>
        <v>482849.01</v>
      </c>
      <c r="J69" s="303"/>
      <c r="K69" s="61">
        <f>E54-I69</f>
        <v>0</v>
      </c>
    </row>
    <row r="70" spans="1:13">
      <c r="A70" s="27" t="s">
        <v>175</v>
      </c>
      <c r="B70" s="63"/>
      <c r="C70" s="63"/>
      <c r="D70" s="80"/>
      <c r="E70" s="29">
        <f t="shared" si="1"/>
        <v>11327.62</v>
      </c>
      <c r="F70" s="3"/>
      <c r="G70" s="70"/>
      <c r="H70" s="45"/>
      <c r="I70" s="69"/>
      <c r="J70" s="71"/>
      <c r="K70" s="24"/>
    </row>
    <row r="71" spans="1:13">
      <c r="A71" s="27" t="s">
        <v>271</v>
      </c>
      <c r="B71" s="63"/>
      <c r="C71" s="63"/>
      <c r="D71" s="80"/>
      <c r="E71" s="29">
        <f t="shared" si="1"/>
        <v>12440.350000000002</v>
      </c>
      <c r="F71" s="3"/>
      <c r="G71" s="36" t="s">
        <v>64</v>
      </c>
      <c r="H71" s="37"/>
      <c r="I71" s="66"/>
      <c r="J71" s="67"/>
    </row>
    <row r="72" spans="1:13">
      <c r="A72" s="27" t="s">
        <v>25</v>
      </c>
      <c r="B72" s="63"/>
      <c r="C72" s="63"/>
      <c r="D72" s="80"/>
      <c r="E72" s="29">
        <f t="shared" si="1"/>
        <v>0</v>
      </c>
      <c r="F72" s="3"/>
      <c r="G72" s="276" t="s">
        <v>19</v>
      </c>
      <c r="H72" s="277"/>
      <c r="I72" s="306">
        <f>'CEF Junho 2020'!I85:J85</f>
        <v>432698.8299999999</v>
      </c>
      <c r="J72" s="307"/>
    </row>
    <row r="73" spans="1:13">
      <c r="A73" s="27" t="s">
        <v>270</v>
      </c>
      <c r="B73" s="63"/>
      <c r="C73" s="63"/>
      <c r="D73" s="80"/>
      <c r="E73" s="29">
        <f t="shared" si="1"/>
        <v>85165.8</v>
      </c>
      <c r="F73" s="3"/>
      <c r="G73" s="27" t="s">
        <v>149</v>
      </c>
      <c r="H73" s="277"/>
      <c r="I73" s="306">
        <f>SUMIF($G$8:$G$53,G73,$D$8:$D$53)</f>
        <v>207632.31</v>
      </c>
      <c r="J73" s="307"/>
    </row>
    <row r="74" spans="1:13">
      <c r="A74" s="27" t="s">
        <v>219</v>
      </c>
      <c r="B74" s="63"/>
      <c r="C74" s="63"/>
      <c r="D74" s="80"/>
      <c r="E74" s="29">
        <f t="shared" si="1"/>
        <v>0</v>
      </c>
      <c r="F74" s="3"/>
      <c r="G74" s="316" t="s">
        <v>145</v>
      </c>
      <c r="H74" s="317"/>
      <c r="I74" s="306">
        <f>-SUMIF($G$8:$G$53,G74,$E$8:$E$53)</f>
        <v>-189357.06000000003</v>
      </c>
      <c r="J74" s="307"/>
    </row>
    <row r="75" spans="1:13">
      <c r="A75" s="27" t="s">
        <v>29</v>
      </c>
      <c r="B75" s="63"/>
      <c r="C75" s="63"/>
      <c r="D75" s="80"/>
      <c r="E75" s="29">
        <f t="shared" si="1"/>
        <v>10121.67</v>
      </c>
      <c r="F75" s="3"/>
      <c r="G75" s="276" t="s">
        <v>30</v>
      </c>
      <c r="H75" s="277"/>
      <c r="I75" s="306">
        <v>809.32</v>
      </c>
      <c r="J75" s="307"/>
    </row>
    <row r="76" spans="1:13">
      <c r="A76" s="27" t="s">
        <v>282</v>
      </c>
      <c r="B76" s="63"/>
      <c r="C76" s="63"/>
      <c r="D76" s="80"/>
      <c r="E76" s="29">
        <f t="shared" si="1"/>
        <v>3377.25</v>
      </c>
      <c r="F76" s="3"/>
      <c r="G76" s="30"/>
      <c r="H76" s="31"/>
      <c r="I76" s="314"/>
      <c r="J76" s="315"/>
    </row>
    <row r="77" spans="1:13">
      <c r="A77" s="27" t="s">
        <v>273</v>
      </c>
      <c r="B77" s="63"/>
      <c r="C77" s="63"/>
      <c r="D77" s="80"/>
      <c r="E77" s="29">
        <f t="shared" si="1"/>
        <v>864</v>
      </c>
      <c r="F77" s="3"/>
      <c r="G77" s="32" t="s">
        <v>18</v>
      </c>
      <c r="H77" s="31"/>
      <c r="I77" s="310">
        <f>SUM(I72:J75)</f>
        <v>451783.39999999985</v>
      </c>
      <c r="J77" s="311"/>
    </row>
    <row r="78" spans="1:13">
      <c r="A78" s="27" t="s">
        <v>218</v>
      </c>
      <c r="B78" s="63"/>
      <c r="C78" s="63"/>
      <c r="D78" s="80"/>
      <c r="E78" s="29">
        <f t="shared" si="1"/>
        <v>1802.56</v>
      </c>
      <c r="F78" s="3"/>
      <c r="G78" s="49"/>
      <c r="H78" s="41"/>
      <c r="I78" s="41"/>
      <c r="J78" s="275"/>
      <c r="K78" s="24"/>
    </row>
    <row r="79" spans="1:13">
      <c r="A79" s="27" t="s">
        <v>379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12"/>
      <c r="J79" s="313"/>
      <c r="K79" s="24"/>
    </row>
    <row r="80" spans="1:13">
      <c r="A80" s="27" t="s">
        <v>231</v>
      </c>
      <c r="B80" s="63"/>
      <c r="C80" s="63"/>
      <c r="D80" s="80"/>
      <c r="E80" s="29">
        <f t="shared" si="1"/>
        <v>0</v>
      </c>
      <c r="F80" s="3"/>
      <c r="G80" s="57" t="s">
        <v>19</v>
      </c>
      <c r="H80" s="58"/>
      <c r="I80" s="304">
        <f>'CEF Março 2019'!I88:J88</f>
        <v>0</v>
      </c>
      <c r="J80" s="305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27" t="s">
        <v>48</v>
      </c>
      <c r="H81" s="277"/>
      <c r="I81" s="306">
        <f>SUMIF($G$8:$G$53,G81,$E$8:$E$53)</f>
        <v>0</v>
      </c>
      <c r="J81" s="307"/>
      <c r="K81" s="24"/>
    </row>
    <row r="82" spans="1:13">
      <c r="A82" s="27" t="s">
        <v>150</v>
      </c>
      <c r="B82" s="63"/>
      <c r="C82" s="63"/>
      <c r="D82" s="80"/>
      <c r="E82" s="29">
        <f t="shared" si="1"/>
        <v>441.6</v>
      </c>
      <c r="F82" s="3"/>
      <c r="G82" s="276" t="s">
        <v>14</v>
      </c>
      <c r="H82" s="277"/>
      <c r="I82" s="306">
        <f>-SUMIF($G$8:$G$53,G82,$D$8:$D$53)</f>
        <v>0</v>
      </c>
      <c r="J82" s="307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30"/>
      <c r="H83" s="31"/>
      <c r="I83" s="314"/>
      <c r="J83" s="315"/>
      <c r="K83" s="24"/>
    </row>
    <row r="84" spans="1:13">
      <c r="A84" s="27" t="s">
        <v>151</v>
      </c>
      <c r="B84" s="41"/>
      <c r="C84" s="41"/>
      <c r="D84" s="80"/>
      <c r="E84" s="29">
        <f t="shared" si="1"/>
        <v>18192.84</v>
      </c>
      <c r="F84" s="3"/>
      <c r="G84" s="32" t="s">
        <v>17</v>
      </c>
      <c r="H84" s="31"/>
      <c r="I84" s="302">
        <f>SUM(I80:J83)</f>
        <v>0</v>
      </c>
      <c r="J84" s="303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75"/>
      <c r="K85" s="24"/>
    </row>
    <row r="86" spans="1:13">
      <c r="A86" s="27" t="s">
        <v>176</v>
      </c>
      <c r="B86" s="63"/>
      <c r="C86" s="63"/>
      <c r="D86" s="80"/>
      <c r="E86" s="29">
        <f t="shared" si="1"/>
        <v>21467.66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272</v>
      </c>
      <c r="B87" s="63"/>
      <c r="C87" s="63"/>
      <c r="D87" s="80"/>
      <c r="E87" s="29">
        <f t="shared" si="1"/>
        <v>495.84000000000003</v>
      </c>
      <c r="F87" s="3"/>
      <c r="G87" s="276" t="s">
        <v>19</v>
      </c>
      <c r="H87" s="277"/>
      <c r="I87" s="308">
        <f>'CEF Junho 2020'!I99:J99</f>
        <v>62677.36999999918</v>
      </c>
      <c r="J87" s="309"/>
      <c r="K87" s="24"/>
    </row>
    <row r="88" spans="1:13">
      <c r="A88" s="27" t="s">
        <v>43</v>
      </c>
      <c r="B88" s="63"/>
      <c r="C88" s="63"/>
      <c r="D88" s="80"/>
      <c r="E88" s="29">
        <f t="shared" si="1"/>
        <v>2678.4</v>
      </c>
      <c r="F88" s="3"/>
      <c r="G88" s="276" t="s">
        <v>409</v>
      </c>
      <c r="H88" s="277"/>
      <c r="I88" s="291">
        <f>249997.75+16000+16408.72+10986.48</f>
        <v>293392.94999999995</v>
      </c>
      <c r="J88" s="292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276" t="s">
        <v>147</v>
      </c>
      <c r="H89" s="277"/>
      <c r="I89" s="306">
        <f>-SUMIF($G$8:$G$53,G89,$E$8:$E$53)</f>
        <v>-293392.95</v>
      </c>
      <c r="J89" s="307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30"/>
      <c r="H90" s="31"/>
      <c r="I90" s="300"/>
      <c r="J90" s="301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10">
        <f>SUM(I87:J90)</f>
        <v>62677.369999999122</v>
      </c>
      <c r="J91" s="311"/>
      <c r="K91" s="24"/>
      <c r="M91" s="39"/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27"/>
      <c r="H92" s="26"/>
      <c r="I92" s="26"/>
      <c r="J92" s="42"/>
      <c r="K92" s="24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28" t="s">
        <v>40</v>
      </c>
      <c r="H94" s="34"/>
      <c r="I94" s="304">
        <f>'CEF Junho 2020'!I106:J106</f>
        <v>21467.660000000011</v>
      </c>
      <c r="J94" s="305"/>
      <c r="K94" s="24"/>
    </row>
    <row r="95" spans="1:13">
      <c r="A95" s="27" t="s">
        <v>307</v>
      </c>
      <c r="B95" s="63"/>
      <c r="C95" s="63"/>
      <c r="D95" s="80"/>
      <c r="E95" s="29">
        <f t="shared" si="1"/>
        <v>0</v>
      </c>
      <c r="F95" s="3"/>
      <c r="G95" s="27" t="s">
        <v>407</v>
      </c>
      <c r="H95" s="41"/>
      <c r="I95" s="306">
        <v>19200.61</v>
      </c>
      <c r="J95" s="307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7"/>
      <c r="H96" s="56"/>
      <c r="I96" s="306"/>
      <c r="J96" s="307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9" t="s">
        <v>176</v>
      </c>
      <c r="H97" s="60"/>
      <c r="I97" s="300">
        <f>-SUMIF($G$8:$G$53,G97,$D$8:$D$53)</f>
        <v>-21467.66</v>
      </c>
      <c r="J97" s="301"/>
      <c r="K97" s="24"/>
    </row>
    <row r="98" spans="1:11">
      <c r="A98" s="62"/>
      <c r="B98" s="63"/>
      <c r="C98" s="63"/>
      <c r="D98" s="80"/>
      <c r="E98" s="29">
        <f t="shared" si="1"/>
        <v>0</v>
      </c>
      <c r="F98" s="3"/>
      <c r="G98" s="47" t="s">
        <v>17</v>
      </c>
      <c r="H98" s="48"/>
      <c r="I98" s="302">
        <f>SUM(I94:J97)</f>
        <v>19200.610000000011</v>
      </c>
      <c r="J98" s="303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49"/>
      <c r="H99" s="41"/>
      <c r="I99" s="41"/>
      <c r="J99" s="275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408</v>
      </c>
      <c r="H101" s="277"/>
      <c r="I101" s="291">
        <v>31153.09</v>
      </c>
      <c r="J101" s="292"/>
      <c r="K101" s="24"/>
    </row>
    <row r="102" spans="1:11">
      <c r="A102" s="297" t="s">
        <v>22</v>
      </c>
      <c r="B102" s="298"/>
      <c r="C102" s="298"/>
      <c r="D102" s="81"/>
      <c r="E102" s="35">
        <f>SUM(E64:E100)</f>
        <v>482849.00999999995</v>
      </c>
      <c r="F102" s="3"/>
      <c r="G102" s="27"/>
      <c r="H102" s="277"/>
      <c r="I102" s="291"/>
      <c r="J102" s="292"/>
      <c r="K102" s="24"/>
    </row>
    <row r="103" spans="1:11">
      <c r="E103" s="46">
        <f>D54-E102</f>
        <v>0</v>
      </c>
      <c r="F103" s="3"/>
      <c r="G103" s="27"/>
      <c r="H103" s="41"/>
      <c r="I103" s="295"/>
      <c r="J103" s="296"/>
      <c r="K103" s="24"/>
    </row>
    <row r="104" spans="1:11">
      <c r="F104" s="3"/>
      <c r="G104" s="89" t="s">
        <v>18</v>
      </c>
      <c r="H104" s="88"/>
      <c r="I104" s="302">
        <f>SUM(I101:J103)</f>
        <v>31153.09</v>
      </c>
      <c r="J104" s="303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mergeCells count="44">
    <mergeCell ref="A59:K59"/>
    <mergeCell ref="A2:K2"/>
    <mergeCell ref="A4:K4"/>
    <mergeCell ref="A6:F6"/>
    <mergeCell ref="G6:K6"/>
    <mergeCell ref="A54:B5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A102:C102"/>
    <mergeCell ref="I102:J102"/>
    <mergeCell ref="I88:J88"/>
    <mergeCell ref="I89:J89"/>
    <mergeCell ref="I90:J90"/>
    <mergeCell ref="I91:J91"/>
    <mergeCell ref="I94:J94"/>
    <mergeCell ref="I95:J95"/>
    <mergeCell ref="I103:J103"/>
    <mergeCell ref="I104:J104"/>
    <mergeCell ref="I96:J96"/>
    <mergeCell ref="I97:J97"/>
    <mergeCell ref="I98:J98"/>
    <mergeCell ref="I101:J10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I65" sqref="I65:J65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432698.83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809.32</v>
      </c>
      <c r="C4" s="41"/>
      <c r="D4" s="144"/>
      <c r="E4" s="41"/>
      <c r="F4" s="41"/>
    </row>
    <row r="5" spans="1:10" ht="15.75" thickBot="1">
      <c r="A5" s="177"/>
      <c r="B5" s="256">
        <v>99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727000.1</v>
      </c>
      <c r="C7" s="165"/>
      <c r="D7" s="144"/>
      <c r="E7" s="185"/>
      <c r="F7" s="41"/>
    </row>
    <row r="8" spans="1:10" ht="15.75" thickBot="1"/>
    <row r="9" spans="1:10" ht="112.5" customHeight="1">
      <c r="A9" s="326" t="s">
        <v>242</v>
      </c>
      <c r="B9" s="326" t="s">
        <v>243</v>
      </c>
      <c r="C9" s="130" t="s">
        <v>244</v>
      </c>
      <c r="D9" s="130" t="s">
        <v>246</v>
      </c>
      <c r="E9" s="130" t="s">
        <v>248</v>
      </c>
      <c r="F9" s="326" t="s">
        <v>250</v>
      </c>
      <c r="J9" s="274" t="s">
        <v>399</v>
      </c>
    </row>
    <row r="10" spans="1:10" ht="67.5" customHeight="1" thickBot="1">
      <c r="A10" s="328"/>
      <c r="B10" s="328"/>
      <c r="C10" s="133" t="s">
        <v>245</v>
      </c>
      <c r="D10" s="133" t="s">
        <v>247</v>
      </c>
      <c r="E10" s="133" t="s">
        <v>249</v>
      </c>
      <c r="F10" s="328"/>
    </row>
    <row r="11" spans="1:10" ht="24.95" customHeight="1" thickBot="1">
      <c r="A11" s="118" t="s">
        <v>211</v>
      </c>
      <c r="B11" s="257">
        <f>151078.07</f>
        <v>151078.07</v>
      </c>
      <c r="C11" s="258">
        <f>D37+D38+D40+D42+D43+D49+D51+D54</f>
        <v>141562.97</v>
      </c>
      <c r="D11" s="115"/>
      <c r="E11" s="260">
        <f t="shared" ref="E11:E27" si="0">C11+D11</f>
        <v>141562.97</v>
      </c>
      <c r="F11" s="261">
        <f>11327.62+86636.58+18990.4+369986.36+7553.28+937.44+18693.89</f>
        <v>514125.57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113460</f>
        <v>113460</v>
      </c>
      <c r="C17" s="258">
        <f>D34+D44+D45+D55+D59</f>
        <v>112087.06999999998</v>
      </c>
      <c r="D17" s="115"/>
      <c r="E17" s="260">
        <f t="shared" si="0"/>
        <v>112087.06999999998</v>
      </c>
      <c r="F17" s="261">
        <f>2276.64+1546.85+113460</f>
        <v>117283.49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f>D61</f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19200.61</v>
      </c>
      <c r="C26" s="259">
        <f>D53</f>
        <v>21467.66</v>
      </c>
      <c r="D26" s="111"/>
      <c r="E26" s="260">
        <f>C26+D26</f>
        <v>21467.66</v>
      </c>
      <c r="F26" s="262">
        <v>19200.61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283837.68</v>
      </c>
      <c r="C28" s="152">
        <f>SUM(C11:C27)</f>
        <v>275117.69999999995</v>
      </c>
      <c r="D28" s="152">
        <f>SUM(D11:D27)</f>
        <v>99</v>
      </c>
      <c r="E28" s="152">
        <f>SUM(E11:E27)</f>
        <v>275216.69999999995</v>
      </c>
      <c r="F28" s="152">
        <f>SUM(F11:F27)</f>
        <v>650609.67000000004</v>
      </c>
      <c r="H28" s="244">
        <f>2940967.54-2290357.87</f>
        <v>650609.66999999993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207632.31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104390.10999999999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12440.350000000002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85165.8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10121.67</v>
      </c>
    </row>
    <row r="43" spans="1:4">
      <c r="A43" s="27" t="s">
        <v>282</v>
      </c>
      <c r="B43" s="266"/>
      <c r="C43" s="266"/>
      <c r="D43" s="182">
        <v>3377.25</v>
      </c>
    </row>
    <row r="44" spans="1:4">
      <c r="A44" s="27" t="s">
        <v>273</v>
      </c>
      <c r="B44" s="266"/>
      <c r="C44" s="266"/>
      <c r="D44" s="182">
        <v>864</v>
      </c>
    </row>
    <row r="45" spans="1:4">
      <c r="A45" s="27" t="s">
        <v>218</v>
      </c>
      <c r="B45" s="266"/>
      <c r="C45" s="266"/>
      <c r="D45" s="182">
        <v>1802.56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>
        <v>0</v>
      </c>
      <c r="E50" s="182"/>
    </row>
    <row r="51" spans="1:5">
      <c r="A51" s="27" t="s">
        <v>151</v>
      </c>
      <c r="B51" s="266"/>
      <c r="C51" s="266"/>
      <c r="D51" s="182">
        <v>18192.84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21467.66</v>
      </c>
    </row>
    <row r="54" spans="1:5">
      <c r="A54" s="27" t="s">
        <v>272</v>
      </c>
      <c r="B54" s="266"/>
      <c r="C54" s="266"/>
      <c r="D54" s="182">
        <v>495.84000000000003</v>
      </c>
    </row>
    <row r="55" spans="1:5">
      <c r="A55" s="27" t="s">
        <v>43</v>
      </c>
      <c r="B55" s="266"/>
      <c r="C55" s="266"/>
      <c r="D55" s="182">
        <v>2678.4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v>99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35" t="s">
        <v>194</v>
      </c>
      <c r="B65" s="336"/>
      <c r="C65" s="294"/>
      <c r="D65" s="267">
        <f>SUM(D31:D63)</f>
        <v>275216.70000000007</v>
      </c>
      <c r="E65" s="267">
        <f>SUM(E31:E63)</f>
        <v>207632.31</v>
      </c>
      <c r="F65" s="46">
        <f>D65+E65</f>
        <v>482849.01000000007</v>
      </c>
    </row>
    <row r="66" spans="1:6">
      <c r="F66" s="46">
        <f>F65-'CEF Julho 2020'!E102</f>
        <v>0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727000.1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275216.69999999995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451783.4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451783.4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opLeftCell="A31" workbookViewId="0">
      <selection activeCell="I65" sqref="I65:J65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410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44046</v>
      </c>
      <c r="B10" s="4">
        <v>42582</v>
      </c>
      <c r="C10" s="4" t="s">
        <v>52</v>
      </c>
      <c r="D10" s="77">
        <v>11327.62</v>
      </c>
      <c r="E10" s="5"/>
      <c r="F10" s="6">
        <f t="shared" ref="F10:F52" si="0">F9-D10+E10</f>
        <v>-11327.62</v>
      </c>
      <c r="G10" s="9" t="s">
        <v>175</v>
      </c>
      <c r="H10" s="7" t="s">
        <v>45</v>
      </c>
      <c r="I10" s="4">
        <v>159503</v>
      </c>
      <c r="J10" s="19">
        <v>29</v>
      </c>
      <c r="K10" s="16">
        <v>44049</v>
      </c>
    </row>
    <row r="11" spans="1:11">
      <c r="A11" s="15">
        <v>44046</v>
      </c>
      <c r="B11" s="4">
        <v>727220</v>
      </c>
      <c r="C11" s="4" t="s">
        <v>60</v>
      </c>
      <c r="D11" s="77"/>
      <c r="E11" s="77">
        <v>11327.62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44047</v>
      </c>
      <c r="B12" s="4">
        <v>300480</v>
      </c>
      <c r="C12" s="4" t="s">
        <v>57</v>
      </c>
      <c r="D12" s="77">
        <v>4521.22</v>
      </c>
      <c r="E12" s="5"/>
      <c r="F12" s="6">
        <f t="shared" si="0"/>
        <v>-4521.22</v>
      </c>
      <c r="G12" s="9" t="s">
        <v>220</v>
      </c>
      <c r="H12" s="7" t="s">
        <v>395</v>
      </c>
      <c r="I12" s="4"/>
      <c r="J12" s="19"/>
      <c r="K12" s="16"/>
    </row>
    <row r="13" spans="1:11">
      <c r="A13" s="15">
        <v>44047</v>
      </c>
      <c r="B13" s="4">
        <v>727220</v>
      </c>
      <c r="C13" s="4" t="s">
        <v>60</v>
      </c>
      <c r="D13" s="77"/>
      <c r="E13" s="77">
        <v>4521.22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44047</v>
      </c>
      <c r="B14" s="4">
        <v>300480</v>
      </c>
      <c r="C14" s="4" t="s">
        <v>391</v>
      </c>
      <c r="D14" s="77"/>
      <c r="E14" s="77">
        <v>4521.22</v>
      </c>
      <c r="F14" s="6">
        <f t="shared" si="0"/>
        <v>4521.22</v>
      </c>
      <c r="G14" s="9" t="s">
        <v>232</v>
      </c>
      <c r="H14" s="7" t="s">
        <v>395</v>
      </c>
      <c r="I14" s="4"/>
      <c r="J14" s="19"/>
      <c r="K14" s="16"/>
    </row>
    <row r="15" spans="1:11">
      <c r="A15" s="15">
        <v>44048</v>
      </c>
      <c r="B15" s="4">
        <v>727220</v>
      </c>
      <c r="C15" s="4" t="s">
        <v>60</v>
      </c>
      <c r="D15" s="77"/>
      <c r="E15" s="77">
        <v>752.16</v>
      </c>
      <c r="F15" s="6">
        <f t="shared" si="0"/>
        <v>5273.38</v>
      </c>
      <c r="G15" s="9" t="s">
        <v>145</v>
      </c>
      <c r="H15" s="7"/>
      <c r="I15" s="4"/>
      <c r="J15" s="19"/>
      <c r="K15" s="16"/>
    </row>
    <row r="16" spans="1:11">
      <c r="A16" s="15">
        <v>44048</v>
      </c>
      <c r="B16" s="4">
        <v>72020</v>
      </c>
      <c r="C16" s="4" t="s">
        <v>188</v>
      </c>
      <c r="D16" s="77">
        <v>99</v>
      </c>
      <c r="E16" s="5"/>
      <c r="F16" s="6">
        <f t="shared" si="0"/>
        <v>5174.38</v>
      </c>
      <c r="G16" s="9" t="s">
        <v>72</v>
      </c>
      <c r="H16" s="7"/>
      <c r="I16" s="4"/>
      <c r="J16" s="19"/>
      <c r="K16" s="16"/>
    </row>
    <row r="17" spans="1:11">
      <c r="A17" s="15">
        <v>44048</v>
      </c>
      <c r="B17" s="4">
        <v>309379</v>
      </c>
      <c r="C17" s="4" t="s">
        <v>172</v>
      </c>
      <c r="D17" s="77">
        <v>5174.38</v>
      </c>
      <c r="E17" s="5"/>
      <c r="F17" s="6">
        <f t="shared" si="0"/>
        <v>0</v>
      </c>
      <c r="G17" s="9" t="s">
        <v>271</v>
      </c>
      <c r="H17" s="7"/>
      <c r="I17" s="4"/>
      <c r="J17" s="19"/>
      <c r="K17" s="16"/>
    </row>
    <row r="18" spans="1:11">
      <c r="A18" s="15">
        <v>44049</v>
      </c>
      <c r="B18" s="4">
        <v>309379</v>
      </c>
      <c r="C18" s="4" t="s">
        <v>172</v>
      </c>
      <c r="D18" s="77">
        <v>86636.58</v>
      </c>
      <c r="E18" s="5"/>
      <c r="F18" s="6">
        <f t="shared" si="0"/>
        <v>-86636.58</v>
      </c>
      <c r="G18" s="9" t="s">
        <v>270</v>
      </c>
      <c r="H18" s="7"/>
      <c r="I18" s="4"/>
      <c r="J18" s="19"/>
      <c r="K18" s="16"/>
    </row>
    <row r="19" spans="1:11">
      <c r="A19" s="15">
        <v>44049</v>
      </c>
      <c r="B19" s="4">
        <v>149591</v>
      </c>
      <c r="C19" s="4" t="s">
        <v>281</v>
      </c>
      <c r="D19" s="77"/>
      <c r="E19" s="77">
        <v>495.84000000000003</v>
      </c>
      <c r="F19" s="6">
        <f t="shared" si="0"/>
        <v>-86140.74</v>
      </c>
      <c r="G19" s="9" t="s">
        <v>232</v>
      </c>
      <c r="H19" s="7"/>
      <c r="I19" s="4"/>
      <c r="J19" s="19"/>
      <c r="K19" s="16"/>
    </row>
    <row r="20" spans="1:11">
      <c r="A20" s="15">
        <v>44049</v>
      </c>
      <c r="B20" s="4">
        <v>1</v>
      </c>
      <c r="C20" s="4" t="s">
        <v>37</v>
      </c>
      <c r="D20" s="77"/>
      <c r="E20" s="77">
        <v>87318.02</v>
      </c>
      <c r="F20" s="6">
        <f t="shared" si="0"/>
        <v>1177.2799999999988</v>
      </c>
      <c r="G20" s="9" t="s">
        <v>147</v>
      </c>
      <c r="H20" s="7"/>
      <c r="I20" s="4"/>
      <c r="J20" s="19"/>
      <c r="K20" s="16"/>
    </row>
    <row r="21" spans="1:11">
      <c r="A21" s="15">
        <v>44049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207252.21</v>
      </c>
      <c r="G21" s="9" t="s">
        <v>147</v>
      </c>
      <c r="H21" s="7"/>
      <c r="I21" s="4"/>
      <c r="J21" s="19"/>
      <c r="K21" s="16"/>
    </row>
    <row r="22" spans="1:11">
      <c r="A22" s="15">
        <v>44049</v>
      </c>
      <c r="B22" s="4">
        <v>149591</v>
      </c>
      <c r="C22" s="4" t="s">
        <v>55</v>
      </c>
      <c r="D22" s="77">
        <v>495.84000000000003</v>
      </c>
      <c r="E22" s="5"/>
      <c r="F22" s="6">
        <f t="shared" si="0"/>
        <v>206756.37</v>
      </c>
      <c r="G22" s="9" t="s">
        <v>220</v>
      </c>
      <c r="H22" s="7"/>
      <c r="I22" s="4"/>
      <c r="J22" s="19"/>
      <c r="K22" s="16"/>
    </row>
    <row r="23" spans="1:11">
      <c r="A23" s="15">
        <v>44050</v>
      </c>
      <c r="B23" s="4">
        <v>130319</v>
      </c>
      <c r="C23" s="4" t="s">
        <v>55</v>
      </c>
      <c r="D23" s="77">
        <v>495.84000000000003</v>
      </c>
      <c r="E23" s="5"/>
      <c r="F23" s="6">
        <f t="shared" si="0"/>
        <v>206260.53</v>
      </c>
      <c r="G23" s="9" t="s">
        <v>272</v>
      </c>
      <c r="H23" s="7" t="s">
        <v>117</v>
      </c>
      <c r="I23" s="4">
        <v>19</v>
      </c>
      <c r="J23" s="19">
        <v>1</v>
      </c>
      <c r="K23" s="16"/>
    </row>
    <row r="24" spans="1:11">
      <c r="A24" s="15">
        <v>44053</v>
      </c>
      <c r="B24" s="4">
        <v>628961</v>
      </c>
      <c r="C24" s="4" t="s">
        <v>216</v>
      </c>
      <c r="D24" s="77">
        <v>1546.8500000000001</v>
      </c>
      <c r="E24" s="5"/>
      <c r="F24" s="6">
        <f t="shared" si="0"/>
        <v>204713.68</v>
      </c>
      <c r="G24" s="9" t="s">
        <v>218</v>
      </c>
      <c r="H24" s="7" t="s">
        <v>222</v>
      </c>
      <c r="I24" s="4">
        <v>889421093</v>
      </c>
      <c r="J24" s="19">
        <v>1</v>
      </c>
      <c r="K24" s="16"/>
    </row>
    <row r="25" spans="1:11">
      <c r="A25" s="15">
        <v>44054</v>
      </c>
      <c r="B25" s="4">
        <v>852290</v>
      </c>
      <c r="C25" s="4" t="s">
        <v>58</v>
      </c>
      <c r="D25" s="77">
        <v>204713.68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44057</v>
      </c>
      <c r="B26" s="4">
        <v>300367</v>
      </c>
      <c r="C26" s="4" t="s">
        <v>57</v>
      </c>
      <c r="D26" s="77">
        <v>11000</v>
      </c>
      <c r="E26" s="5"/>
      <c r="F26" s="6">
        <f t="shared" si="0"/>
        <v>-11000</v>
      </c>
      <c r="G26" s="9" t="s">
        <v>34</v>
      </c>
      <c r="H26" s="7" t="s">
        <v>369</v>
      </c>
      <c r="I26" s="4">
        <v>20</v>
      </c>
      <c r="J26" s="19">
        <v>7</v>
      </c>
      <c r="K26" s="16">
        <v>44049</v>
      </c>
    </row>
    <row r="27" spans="1:11">
      <c r="A27" s="15">
        <v>44057</v>
      </c>
      <c r="B27" s="4">
        <v>300372</v>
      </c>
      <c r="C27" s="4" t="s">
        <v>57</v>
      </c>
      <c r="D27" s="77">
        <v>3040.7400000000002</v>
      </c>
      <c r="E27" s="5"/>
      <c r="F27" s="6">
        <f t="shared" si="0"/>
        <v>-14040.74</v>
      </c>
      <c r="G27" s="9" t="s">
        <v>34</v>
      </c>
      <c r="H27" s="7" t="s">
        <v>341</v>
      </c>
      <c r="I27" s="4">
        <v>352</v>
      </c>
      <c r="J27" s="19">
        <v>11</v>
      </c>
      <c r="K27" s="16">
        <v>44049</v>
      </c>
    </row>
    <row r="28" spans="1:11">
      <c r="A28" s="15">
        <v>44057</v>
      </c>
      <c r="B28" s="4">
        <v>300365</v>
      </c>
      <c r="C28" s="4" t="s">
        <v>57</v>
      </c>
      <c r="D28" s="77">
        <v>9811.8000000000011</v>
      </c>
      <c r="E28" s="5"/>
      <c r="F28" s="6">
        <f t="shared" si="0"/>
        <v>-23852.54</v>
      </c>
      <c r="G28" s="9" t="s">
        <v>34</v>
      </c>
      <c r="H28" s="7" t="s">
        <v>352</v>
      </c>
      <c r="I28" s="4">
        <v>68</v>
      </c>
      <c r="J28" s="19">
        <v>9</v>
      </c>
      <c r="K28" s="16">
        <v>44049</v>
      </c>
    </row>
    <row r="29" spans="1:11">
      <c r="A29" s="15">
        <v>44057</v>
      </c>
      <c r="B29" s="4">
        <v>300368</v>
      </c>
      <c r="C29" s="4" t="s">
        <v>57</v>
      </c>
      <c r="D29" s="77">
        <v>11000</v>
      </c>
      <c r="E29" s="5"/>
      <c r="F29" s="6">
        <f t="shared" si="0"/>
        <v>-34852.54</v>
      </c>
      <c r="G29" s="9" t="s">
        <v>34</v>
      </c>
      <c r="H29" s="7" t="s">
        <v>361</v>
      </c>
      <c r="I29" s="4">
        <v>66</v>
      </c>
      <c r="J29" s="19">
        <v>5</v>
      </c>
      <c r="K29" s="16">
        <v>44049</v>
      </c>
    </row>
    <row r="30" spans="1:11">
      <c r="A30" s="15">
        <v>44057</v>
      </c>
      <c r="B30" s="4">
        <v>300366</v>
      </c>
      <c r="C30" s="4" t="s">
        <v>57</v>
      </c>
      <c r="D30" s="77">
        <v>11880</v>
      </c>
      <c r="E30" s="5"/>
      <c r="F30" s="6">
        <f t="shared" si="0"/>
        <v>-46732.54</v>
      </c>
      <c r="G30" s="9" t="s">
        <v>34</v>
      </c>
      <c r="H30" s="7" t="s">
        <v>302</v>
      </c>
      <c r="I30" s="4">
        <v>140</v>
      </c>
      <c r="J30" s="19">
        <v>4</v>
      </c>
      <c r="K30" s="16">
        <v>44049</v>
      </c>
    </row>
    <row r="31" spans="1:11">
      <c r="A31" s="15">
        <v>44057</v>
      </c>
      <c r="B31" s="4">
        <v>300371</v>
      </c>
      <c r="C31" s="4" t="s">
        <v>57</v>
      </c>
      <c r="D31" s="77">
        <v>23028.52</v>
      </c>
      <c r="E31" s="5"/>
      <c r="F31" s="6">
        <f t="shared" si="0"/>
        <v>-69761.06</v>
      </c>
      <c r="G31" s="9" t="s">
        <v>34</v>
      </c>
      <c r="H31" s="7" t="s">
        <v>128</v>
      </c>
      <c r="I31" s="4">
        <v>70</v>
      </c>
      <c r="J31" s="19">
        <v>23</v>
      </c>
      <c r="K31" s="16">
        <v>44049</v>
      </c>
    </row>
    <row r="32" spans="1:11">
      <c r="A32" s="15">
        <v>44057</v>
      </c>
      <c r="B32" s="4">
        <v>300370</v>
      </c>
      <c r="C32" s="4" t="s">
        <v>57</v>
      </c>
      <c r="D32" s="77">
        <v>12755.34</v>
      </c>
      <c r="E32" s="5"/>
      <c r="F32" s="6">
        <f t="shared" si="0"/>
        <v>-82516.399999999994</v>
      </c>
      <c r="G32" s="9" t="s">
        <v>34</v>
      </c>
      <c r="H32" s="7" t="s">
        <v>224</v>
      </c>
      <c r="I32" s="4">
        <v>57</v>
      </c>
      <c r="J32" s="19">
        <v>12</v>
      </c>
      <c r="K32" s="16">
        <v>44049</v>
      </c>
    </row>
    <row r="33" spans="1:11">
      <c r="A33" s="15">
        <v>44057</v>
      </c>
      <c r="B33" s="4">
        <v>300369</v>
      </c>
      <c r="C33" s="4" t="s">
        <v>57</v>
      </c>
      <c r="D33" s="77">
        <v>15316.32</v>
      </c>
      <c r="E33" s="5"/>
      <c r="F33" s="6">
        <f t="shared" si="0"/>
        <v>-97832.72</v>
      </c>
      <c r="G33" s="9" t="s">
        <v>34</v>
      </c>
      <c r="H33" s="7" t="s">
        <v>127</v>
      </c>
      <c r="I33" s="4">
        <v>94</v>
      </c>
      <c r="J33" s="19">
        <v>5</v>
      </c>
      <c r="K33" s="16">
        <v>44050</v>
      </c>
    </row>
    <row r="34" spans="1:11">
      <c r="A34" s="15">
        <v>44057</v>
      </c>
      <c r="B34" s="4">
        <v>300501</v>
      </c>
      <c r="C34" s="4" t="s">
        <v>57</v>
      </c>
      <c r="D34" s="77">
        <v>2180.4</v>
      </c>
      <c r="E34" s="5"/>
      <c r="F34" s="6">
        <f t="shared" si="0"/>
        <v>-100013.12</v>
      </c>
      <c r="G34" s="9" t="s">
        <v>34</v>
      </c>
      <c r="H34" s="7" t="s">
        <v>343</v>
      </c>
      <c r="I34" s="4">
        <v>1079</v>
      </c>
      <c r="J34" s="19">
        <v>11</v>
      </c>
      <c r="K34" s="16">
        <v>44046</v>
      </c>
    </row>
    <row r="35" spans="1:11">
      <c r="A35" s="15">
        <v>44057</v>
      </c>
      <c r="B35" s="4">
        <v>727220</v>
      </c>
      <c r="C35" s="4" t="s">
        <v>60</v>
      </c>
      <c r="D35" s="77"/>
      <c r="E35" s="77">
        <v>100013.12</v>
      </c>
      <c r="F35" s="6">
        <f t="shared" si="0"/>
        <v>0</v>
      </c>
      <c r="G35" s="9" t="s">
        <v>145</v>
      </c>
      <c r="H35" s="7"/>
      <c r="I35" s="4"/>
      <c r="J35" s="19"/>
      <c r="K35" s="16"/>
    </row>
    <row r="36" spans="1:11">
      <c r="A36" s="15">
        <v>44060</v>
      </c>
      <c r="B36" s="4">
        <v>727220</v>
      </c>
      <c r="C36" s="4" t="s">
        <v>60</v>
      </c>
      <c r="D36" s="77"/>
      <c r="E36" s="77">
        <v>2352</v>
      </c>
      <c r="F36" s="6">
        <f t="shared" si="0"/>
        <v>2352</v>
      </c>
      <c r="G36" s="9" t="s">
        <v>145</v>
      </c>
      <c r="H36" s="7"/>
      <c r="I36" s="4"/>
      <c r="J36" s="19"/>
      <c r="K36" s="16"/>
    </row>
    <row r="37" spans="1:11">
      <c r="A37" s="15">
        <v>44060</v>
      </c>
      <c r="B37" s="4">
        <v>171524</v>
      </c>
      <c r="C37" s="4" t="s">
        <v>173</v>
      </c>
      <c r="D37" s="77">
        <v>2352</v>
      </c>
      <c r="E37" s="5"/>
      <c r="F37" s="6">
        <f t="shared" si="0"/>
        <v>0</v>
      </c>
      <c r="G37" s="9" t="s">
        <v>34</v>
      </c>
      <c r="H37" s="7" t="s">
        <v>223</v>
      </c>
      <c r="I37" s="4">
        <v>644</v>
      </c>
      <c r="J37" s="19">
        <v>3</v>
      </c>
      <c r="K37" s="16">
        <v>44046</v>
      </c>
    </row>
    <row r="38" spans="1:11">
      <c r="A38" s="15">
        <v>44063</v>
      </c>
      <c r="B38" s="4">
        <v>481946</v>
      </c>
      <c r="C38" s="4" t="s">
        <v>53</v>
      </c>
      <c r="D38" s="77">
        <v>3317.27</v>
      </c>
      <c r="E38" s="5"/>
      <c r="F38" s="6">
        <f t="shared" si="0"/>
        <v>-3317.27</v>
      </c>
      <c r="G38" s="9" t="s">
        <v>282</v>
      </c>
      <c r="H38" s="7" t="s">
        <v>256</v>
      </c>
      <c r="I38" s="4">
        <v>49</v>
      </c>
      <c r="J38" s="19">
        <v>1</v>
      </c>
      <c r="K38" s="16">
        <v>44050</v>
      </c>
    </row>
    <row r="39" spans="1:11">
      <c r="A39" s="15">
        <v>44063</v>
      </c>
      <c r="B39" s="4">
        <v>727220</v>
      </c>
      <c r="C39" s="4" t="s">
        <v>60</v>
      </c>
      <c r="D39" s="77"/>
      <c r="E39" s="77">
        <v>16840.45</v>
      </c>
      <c r="F39" s="6">
        <f t="shared" si="0"/>
        <v>13523.18</v>
      </c>
      <c r="G39" s="9" t="s">
        <v>145</v>
      </c>
      <c r="H39" s="7"/>
      <c r="I39" s="4"/>
      <c r="J39" s="19"/>
      <c r="K39" s="16"/>
    </row>
    <row r="40" spans="1:11">
      <c r="A40" s="15">
        <v>44063</v>
      </c>
      <c r="B40" s="4">
        <v>481825</v>
      </c>
      <c r="C40" s="4" t="s">
        <v>53</v>
      </c>
      <c r="D40" s="77">
        <v>137.09</v>
      </c>
      <c r="E40" s="5"/>
      <c r="F40" s="6">
        <f t="shared" si="0"/>
        <v>13386.09</v>
      </c>
      <c r="G40" s="9" t="s">
        <v>282</v>
      </c>
      <c r="H40" s="7" t="s">
        <v>256</v>
      </c>
      <c r="I40" s="4">
        <v>52</v>
      </c>
      <c r="J40" s="19">
        <v>1</v>
      </c>
      <c r="K40" s="16">
        <v>44050</v>
      </c>
    </row>
    <row r="41" spans="1:11">
      <c r="A41" s="15">
        <v>44063</v>
      </c>
      <c r="B41" s="4">
        <v>559850</v>
      </c>
      <c r="C41" s="4" t="s">
        <v>52</v>
      </c>
      <c r="D41" s="77">
        <v>441.6</v>
      </c>
      <c r="E41" s="5"/>
      <c r="F41" s="6">
        <f t="shared" si="0"/>
        <v>12944.49</v>
      </c>
      <c r="G41" s="9" t="s">
        <v>150</v>
      </c>
      <c r="H41" s="7" t="s">
        <v>161</v>
      </c>
      <c r="I41" s="4">
        <v>1590731</v>
      </c>
      <c r="J41" s="19">
        <v>1</v>
      </c>
      <c r="K41" s="16">
        <v>44049</v>
      </c>
    </row>
    <row r="42" spans="1:11">
      <c r="A42" s="15">
        <v>44063</v>
      </c>
      <c r="B42" s="4">
        <v>883540</v>
      </c>
      <c r="C42" s="4" t="s">
        <v>54</v>
      </c>
      <c r="D42" s="77">
        <v>9933.4500000000007</v>
      </c>
      <c r="E42" s="5"/>
      <c r="F42" s="6">
        <f t="shared" si="0"/>
        <v>3011.0399999999991</v>
      </c>
      <c r="G42" s="9" t="s">
        <v>29</v>
      </c>
      <c r="H42" s="7" t="s">
        <v>116</v>
      </c>
      <c r="I42" s="4">
        <v>114</v>
      </c>
      <c r="J42" s="19">
        <v>1</v>
      </c>
      <c r="K42" s="16">
        <v>44050</v>
      </c>
    </row>
    <row r="43" spans="1:11">
      <c r="A43" s="15">
        <v>44063</v>
      </c>
      <c r="B43" s="4">
        <v>481594</v>
      </c>
      <c r="C43" s="4" t="s">
        <v>53</v>
      </c>
      <c r="D43" s="77">
        <v>734.4</v>
      </c>
      <c r="E43" s="5"/>
      <c r="F43" s="6">
        <f t="shared" si="0"/>
        <v>2276.639999999999</v>
      </c>
      <c r="G43" s="9" t="s">
        <v>273</v>
      </c>
      <c r="H43" s="7" t="s">
        <v>257</v>
      </c>
      <c r="I43" s="4">
        <v>113</v>
      </c>
      <c r="J43" s="19">
        <v>1</v>
      </c>
      <c r="K43" s="16">
        <v>44062</v>
      </c>
    </row>
    <row r="44" spans="1:11">
      <c r="A44" s="15">
        <v>44063</v>
      </c>
      <c r="B44" s="4">
        <v>481737</v>
      </c>
      <c r="C44" s="4" t="s">
        <v>53</v>
      </c>
      <c r="D44" s="77">
        <v>2276.64</v>
      </c>
      <c r="E44" s="5"/>
      <c r="F44" s="6">
        <f t="shared" si="0"/>
        <v>-9.0949470177292824E-13</v>
      </c>
      <c r="G44" s="9" t="s">
        <v>43</v>
      </c>
      <c r="H44" s="7" t="s">
        <v>134</v>
      </c>
      <c r="I44" s="4">
        <v>114</v>
      </c>
      <c r="J44" s="19">
        <v>1</v>
      </c>
      <c r="K44" s="16">
        <v>44062</v>
      </c>
    </row>
    <row r="45" spans="1:11">
      <c r="A45" s="15">
        <v>44067</v>
      </c>
      <c r="B45" s="4">
        <v>241405</v>
      </c>
      <c r="C45" s="4" t="s">
        <v>44</v>
      </c>
      <c r="D45" s="77"/>
      <c r="E45" s="77">
        <v>99</v>
      </c>
      <c r="F45" s="6">
        <f t="shared" si="0"/>
        <v>98.999999999999091</v>
      </c>
      <c r="G45" s="9" t="s">
        <v>232</v>
      </c>
      <c r="H45" s="7"/>
      <c r="I45" s="4"/>
      <c r="J45" s="19"/>
      <c r="K45" s="16"/>
    </row>
    <row r="46" spans="1:11">
      <c r="A46" s="15">
        <v>44067</v>
      </c>
      <c r="B46" s="4">
        <v>241404</v>
      </c>
      <c r="C46" s="4" t="s">
        <v>47</v>
      </c>
      <c r="D46" s="77">
        <v>18693.89</v>
      </c>
      <c r="E46" s="5"/>
      <c r="F46" s="6">
        <f t="shared" si="0"/>
        <v>-18594.89</v>
      </c>
      <c r="G46" s="9" t="s">
        <v>120</v>
      </c>
      <c r="H46" s="7"/>
      <c r="I46" s="4"/>
      <c r="J46" s="19"/>
      <c r="K46" s="16"/>
    </row>
    <row r="47" spans="1:11">
      <c r="A47" s="15">
        <v>44067</v>
      </c>
      <c r="B47" s="4">
        <v>727220</v>
      </c>
      <c r="C47" s="4" t="s">
        <v>60</v>
      </c>
      <c r="D47" s="77"/>
      <c r="E47" s="77">
        <v>18594.89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>
        <v>44070</v>
      </c>
      <c r="B48" s="4">
        <v>727220</v>
      </c>
      <c r="C48" s="4" t="s">
        <v>60</v>
      </c>
      <c r="D48" s="77"/>
      <c r="E48" s="77">
        <v>19200.61</v>
      </c>
      <c r="F48" s="6">
        <f t="shared" si="0"/>
        <v>19200.61</v>
      </c>
      <c r="G48" s="9" t="s">
        <v>145</v>
      </c>
      <c r="H48" s="7"/>
      <c r="I48" s="4"/>
      <c r="J48" s="19"/>
      <c r="K48" s="16"/>
    </row>
    <row r="49" spans="1:11">
      <c r="A49" s="15">
        <v>44070</v>
      </c>
      <c r="B49" s="4">
        <v>271549</v>
      </c>
      <c r="C49" s="4" t="s">
        <v>47</v>
      </c>
      <c r="D49" s="77">
        <v>19200.61</v>
      </c>
      <c r="E49" s="5"/>
      <c r="F49" s="6">
        <f t="shared" si="0"/>
        <v>0</v>
      </c>
      <c r="G49" s="9" t="s">
        <v>176</v>
      </c>
      <c r="H49" s="7"/>
      <c r="I49" s="4"/>
      <c r="J49" s="19"/>
      <c r="K49" s="16"/>
    </row>
    <row r="50" spans="1:11">
      <c r="A50" s="15">
        <v>44071</v>
      </c>
      <c r="B50" s="4">
        <v>300503</v>
      </c>
      <c r="C50" s="4" t="s">
        <v>57</v>
      </c>
      <c r="D50" s="77">
        <v>1943.92</v>
      </c>
      <c r="E50" s="5"/>
      <c r="F50" s="6">
        <f t="shared" si="0"/>
        <v>-1943.92</v>
      </c>
      <c r="G50" s="9" t="s">
        <v>34</v>
      </c>
      <c r="H50" s="7" t="s">
        <v>310</v>
      </c>
      <c r="I50" s="4">
        <v>112</v>
      </c>
      <c r="J50" s="19">
        <v>3</v>
      </c>
      <c r="K50" s="16">
        <v>44049</v>
      </c>
    </row>
    <row r="51" spans="1:11">
      <c r="A51" s="15">
        <v>44071</v>
      </c>
      <c r="B51" s="4">
        <v>300502</v>
      </c>
      <c r="C51" s="4" t="s">
        <v>57</v>
      </c>
      <c r="D51" s="77">
        <v>4605.54</v>
      </c>
      <c r="E51" s="5"/>
      <c r="F51" s="6">
        <f t="shared" si="0"/>
        <v>-6549.46</v>
      </c>
      <c r="G51" s="9" t="s">
        <v>34</v>
      </c>
      <c r="H51" s="7" t="s">
        <v>394</v>
      </c>
      <c r="I51" s="4">
        <v>40</v>
      </c>
      <c r="J51" s="19">
        <v>24</v>
      </c>
      <c r="K51" s="16">
        <v>44047</v>
      </c>
    </row>
    <row r="52" spans="1:11">
      <c r="A52" s="15">
        <v>44071</v>
      </c>
      <c r="B52" s="4">
        <v>727220</v>
      </c>
      <c r="C52" s="4" t="s">
        <v>60</v>
      </c>
      <c r="D52" s="77"/>
      <c r="E52" s="77">
        <v>6549.46</v>
      </c>
      <c r="F52" s="6">
        <f t="shared" si="0"/>
        <v>0</v>
      </c>
      <c r="G52" s="9" t="s">
        <v>145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24" t="s">
        <v>12</v>
      </c>
      <c r="B54" s="325"/>
      <c r="C54" s="21"/>
      <c r="D54" s="78">
        <f>SUM(D10:D53)</f>
        <v>478660.5400000001</v>
      </c>
      <c r="E54" s="40">
        <f>SUM(E10:E53)</f>
        <v>478660.54000000004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299" t="s">
        <v>123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</row>
    <row r="60" spans="1:11" ht="18" customHeight="1"/>
    <row r="61" spans="1:11" ht="18" customHeight="1">
      <c r="A61" s="318" t="s">
        <v>411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19" t="s">
        <v>21</v>
      </c>
      <c r="B63" s="320"/>
      <c r="C63" s="320"/>
      <c r="D63" s="320"/>
      <c r="E63" s="321"/>
      <c r="F63" s="3"/>
      <c r="G63" s="322" t="s">
        <v>20</v>
      </c>
      <c r="H63" s="322"/>
      <c r="I63" s="322"/>
      <c r="J63" s="322"/>
      <c r="K63" s="24"/>
    </row>
    <row r="64" spans="1:11">
      <c r="A64" s="28" t="s">
        <v>233</v>
      </c>
      <c r="B64" s="44"/>
      <c r="C64" s="44"/>
      <c r="D64" s="79"/>
      <c r="E64" s="33">
        <f t="shared" ref="E64:E96" si="1">SUMIF($G$8:$G$53,A64,$D$8:$D$53)</f>
        <v>0</v>
      </c>
      <c r="F64" s="3"/>
      <c r="G64" s="62" t="s">
        <v>147</v>
      </c>
      <c r="H64" s="26"/>
      <c r="I64" s="306">
        <f>SUMIF($G$8:$G$53,G64,$E$8:$E$53)</f>
        <v>293392.95</v>
      </c>
      <c r="J64" s="307"/>
      <c r="K64" s="24"/>
    </row>
    <row r="65" spans="1:13">
      <c r="A65" s="27" t="s">
        <v>149</v>
      </c>
      <c r="B65" s="63"/>
      <c r="C65" s="63"/>
      <c r="D65" s="80"/>
      <c r="E65" s="29">
        <f t="shared" si="1"/>
        <v>204713.68</v>
      </c>
      <c r="F65" s="3"/>
      <c r="G65" s="316" t="s">
        <v>145</v>
      </c>
      <c r="H65" s="317"/>
      <c r="I65" s="306">
        <f>SUMIF($G$8:$G$53,G65,$E$8:$E$53)</f>
        <v>180151.53</v>
      </c>
      <c r="J65" s="307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8" t="s">
        <v>234</v>
      </c>
      <c r="H66" s="279"/>
      <c r="I66" s="306">
        <f>SUMIF($G$8:$G$53,G66,$E$8:$E$53)</f>
        <v>0</v>
      </c>
      <c r="J66" s="307"/>
      <c r="K66" s="24"/>
      <c r="M66" s="274" t="s">
        <v>344</v>
      </c>
    </row>
    <row r="67" spans="1:13">
      <c r="A67" s="27" t="s">
        <v>177</v>
      </c>
      <c r="B67" s="63"/>
      <c r="C67" s="63"/>
      <c r="D67" s="80"/>
      <c r="E67" s="29">
        <f t="shared" si="1"/>
        <v>0</v>
      </c>
      <c r="F67" s="3"/>
      <c r="G67" s="62" t="s">
        <v>232</v>
      </c>
      <c r="H67" s="26"/>
      <c r="I67" s="306">
        <f>SUMIF($G$8:$G$53,G67,$E$8:$E$53)</f>
        <v>5116.0600000000004</v>
      </c>
      <c r="J67" s="307"/>
      <c r="K67" s="24"/>
      <c r="M67" s="46"/>
    </row>
    <row r="68" spans="1:13">
      <c r="A68" s="27" t="s">
        <v>255</v>
      </c>
      <c r="B68" s="63"/>
      <c r="C68" s="63"/>
      <c r="D68" s="80"/>
      <c r="E68" s="29">
        <f t="shared" si="1"/>
        <v>0</v>
      </c>
      <c r="F68" s="3"/>
      <c r="G68" s="62"/>
      <c r="H68" s="26"/>
      <c r="I68" s="306"/>
      <c r="J68" s="307"/>
      <c r="K68" s="24"/>
    </row>
    <row r="69" spans="1:13">
      <c r="A69" s="27" t="s">
        <v>175</v>
      </c>
      <c r="B69" s="63"/>
      <c r="C69" s="63"/>
      <c r="D69" s="80"/>
      <c r="E69" s="29">
        <f t="shared" si="1"/>
        <v>11327.62</v>
      </c>
      <c r="F69" s="3"/>
      <c r="G69" s="47" t="s">
        <v>22</v>
      </c>
      <c r="H69" s="48"/>
      <c r="I69" s="302">
        <f>SUM(I64:J68)</f>
        <v>478660.54</v>
      </c>
      <c r="J69" s="303"/>
      <c r="K69" s="61">
        <f>E54-I69</f>
        <v>0</v>
      </c>
    </row>
    <row r="70" spans="1:13">
      <c r="A70" s="27" t="s">
        <v>271</v>
      </c>
      <c r="B70" s="63"/>
      <c r="C70" s="63"/>
      <c r="D70" s="80"/>
      <c r="E70" s="29">
        <f t="shared" si="1"/>
        <v>5174.38</v>
      </c>
      <c r="F70" s="3"/>
      <c r="G70" s="70"/>
      <c r="H70" s="45"/>
      <c r="I70" s="69"/>
      <c r="J70" s="71"/>
      <c r="K70" s="24"/>
    </row>
    <row r="71" spans="1:13">
      <c r="A71" s="27" t="s">
        <v>25</v>
      </c>
      <c r="B71" s="63"/>
      <c r="C71" s="63"/>
      <c r="D71" s="80"/>
      <c r="E71" s="29">
        <f t="shared" si="1"/>
        <v>0</v>
      </c>
      <c r="F71" s="3"/>
      <c r="G71" s="36" t="s">
        <v>64</v>
      </c>
      <c r="H71" s="37"/>
      <c r="I71" s="66"/>
      <c r="J71" s="67"/>
    </row>
    <row r="72" spans="1:13">
      <c r="A72" s="27" t="s">
        <v>270</v>
      </c>
      <c r="B72" s="63"/>
      <c r="C72" s="63"/>
      <c r="D72" s="80"/>
      <c r="E72" s="29">
        <f t="shared" si="1"/>
        <v>86636.58</v>
      </c>
      <c r="F72" s="3"/>
      <c r="G72" s="278" t="s">
        <v>19</v>
      </c>
      <c r="H72" s="279"/>
      <c r="I72" s="306">
        <f>'CEF Julho 2020'!I77:J77</f>
        <v>451783.39999999985</v>
      </c>
      <c r="J72" s="307"/>
    </row>
    <row r="73" spans="1:13">
      <c r="A73" s="27" t="s">
        <v>29</v>
      </c>
      <c r="B73" s="63"/>
      <c r="C73" s="63"/>
      <c r="D73" s="80"/>
      <c r="E73" s="29">
        <f t="shared" si="1"/>
        <v>9933.4500000000007</v>
      </c>
      <c r="F73" s="3"/>
      <c r="G73" s="27" t="s">
        <v>149</v>
      </c>
      <c r="H73" s="279"/>
      <c r="I73" s="306">
        <f>SUMIF($G$8:$G$53,G73,$D$8:$D$53)</f>
        <v>204713.68</v>
      </c>
      <c r="J73" s="307"/>
    </row>
    <row r="74" spans="1:13">
      <c r="A74" s="27" t="s">
        <v>282</v>
      </c>
      <c r="B74" s="63"/>
      <c r="C74" s="63"/>
      <c r="D74" s="80"/>
      <c r="E74" s="29">
        <f t="shared" si="1"/>
        <v>3454.36</v>
      </c>
      <c r="F74" s="3"/>
      <c r="G74" s="316" t="s">
        <v>145</v>
      </c>
      <c r="H74" s="317"/>
      <c r="I74" s="306">
        <f>-SUMIF($G$8:$G$53,G74,$E$8:$E$53)</f>
        <v>-180151.53</v>
      </c>
      <c r="J74" s="307"/>
    </row>
    <row r="75" spans="1:13">
      <c r="A75" s="27" t="s">
        <v>273</v>
      </c>
      <c r="B75" s="63"/>
      <c r="C75" s="63"/>
      <c r="D75" s="80"/>
      <c r="E75" s="29">
        <f t="shared" si="1"/>
        <v>734.4</v>
      </c>
      <c r="F75" s="3"/>
      <c r="G75" s="278" t="s">
        <v>30</v>
      </c>
      <c r="H75" s="279"/>
      <c r="I75" s="306">
        <v>642.24</v>
      </c>
      <c r="J75" s="307"/>
    </row>
    <row r="76" spans="1:13">
      <c r="A76" s="27" t="s">
        <v>218</v>
      </c>
      <c r="B76" s="63"/>
      <c r="C76" s="63"/>
      <c r="D76" s="80"/>
      <c r="E76" s="29">
        <f t="shared" si="1"/>
        <v>1546.8500000000001</v>
      </c>
      <c r="F76" s="3"/>
      <c r="G76" s="30"/>
      <c r="H76" s="31"/>
      <c r="I76" s="314"/>
      <c r="J76" s="315"/>
    </row>
    <row r="77" spans="1:13">
      <c r="A77" s="27" t="s">
        <v>379</v>
      </c>
      <c r="B77" s="63"/>
      <c r="C77" s="63"/>
      <c r="D77" s="80"/>
      <c r="E77" s="29">
        <f t="shared" si="1"/>
        <v>0</v>
      </c>
      <c r="F77" s="3"/>
      <c r="G77" s="32" t="s">
        <v>18</v>
      </c>
      <c r="H77" s="31"/>
      <c r="I77" s="310">
        <f>SUM(I72:J75)</f>
        <v>476987.7899999998</v>
      </c>
      <c r="J77" s="311"/>
    </row>
    <row r="78" spans="1:13">
      <c r="A78" s="27" t="s">
        <v>231</v>
      </c>
      <c r="B78" s="63"/>
      <c r="C78" s="63"/>
      <c r="D78" s="80"/>
      <c r="E78" s="29">
        <f t="shared" si="1"/>
        <v>0</v>
      </c>
      <c r="F78" s="3"/>
      <c r="G78" s="49"/>
      <c r="H78" s="41"/>
      <c r="I78" s="41"/>
      <c r="J78" s="280"/>
      <c r="K78" s="24"/>
    </row>
    <row r="79" spans="1:13">
      <c r="A79" s="27" t="s">
        <v>28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12"/>
      <c r="J79" s="313"/>
      <c r="K79" s="24"/>
    </row>
    <row r="80" spans="1:13">
      <c r="A80" s="27" t="s">
        <v>150</v>
      </c>
      <c r="B80" s="63"/>
      <c r="C80" s="63"/>
      <c r="D80" s="80"/>
      <c r="E80" s="29">
        <f t="shared" si="1"/>
        <v>441.6</v>
      </c>
      <c r="F80" s="3"/>
      <c r="G80" s="57" t="s">
        <v>19</v>
      </c>
      <c r="H80" s="58"/>
      <c r="I80" s="304">
        <f>'CEF Março 2019'!I88:J88</f>
        <v>0</v>
      </c>
      <c r="J80" s="305"/>
      <c r="K80" s="24"/>
    </row>
    <row r="81" spans="1:13">
      <c r="A81" s="27" t="s">
        <v>220</v>
      </c>
      <c r="B81" s="63"/>
      <c r="C81" s="63"/>
      <c r="D81" s="80"/>
      <c r="E81" s="29">
        <f t="shared" si="1"/>
        <v>5017.0600000000004</v>
      </c>
      <c r="F81" s="3"/>
      <c r="G81" s="27" t="s">
        <v>48</v>
      </c>
      <c r="H81" s="279"/>
      <c r="I81" s="306">
        <f>SUMIF($G$8:$G$53,G81,$E$8:$E$53)</f>
        <v>0</v>
      </c>
      <c r="J81" s="307"/>
      <c r="K81" s="24"/>
    </row>
    <row r="82" spans="1:13">
      <c r="A82" s="27" t="s">
        <v>176</v>
      </c>
      <c r="B82" s="63"/>
      <c r="C82" s="63"/>
      <c r="D82" s="80"/>
      <c r="E82" s="29">
        <f t="shared" si="1"/>
        <v>19200.61</v>
      </c>
      <c r="F82" s="3"/>
      <c r="G82" s="278" t="s">
        <v>14</v>
      </c>
      <c r="H82" s="279"/>
      <c r="I82" s="306">
        <f>-SUMIF($G$8:$G$53,G82,$D$8:$D$53)</f>
        <v>0</v>
      </c>
      <c r="J82" s="307"/>
      <c r="K82" s="24"/>
    </row>
    <row r="83" spans="1:13">
      <c r="A83" s="27" t="s">
        <v>272</v>
      </c>
      <c r="B83" s="63"/>
      <c r="C83" s="63"/>
      <c r="D83" s="80"/>
      <c r="E83" s="29">
        <f t="shared" si="1"/>
        <v>495.84000000000003</v>
      </c>
      <c r="F83" s="3"/>
      <c r="G83" s="30"/>
      <c r="H83" s="31"/>
      <c r="I83" s="314"/>
      <c r="J83" s="315"/>
      <c r="K83" s="24"/>
    </row>
    <row r="84" spans="1:13">
      <c r="A84" s="27" t="s">
        <v>43</v>
      </c>
      <c r="B84" s="63"/>
      <c r="C84" s="63"/>
      <c r="D84" s="80"/>
      <c r="E84" s="29">
        <f t="shared" si="1"/>
        <v>2276.64</v>
      </c>
      <c r="F84" s="3"/>
      <c r="G84" s="32" t="s">
        <v>17</v>
      </c>
      <c r="H84" s="31"/>
      <c r="I84" s="302">
        <f>SUM(I80:J83)</f>
        <v>0</v>
      </c>
      <c r="J84" s="303"/>
      <c r="K84" s="24"/>
    </row>
    <row r="85" spans="1:13">
      <c r="A85" s="27" t="s">
        <v>179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80"/>
      <c r="K85" s="24"/>
    </row>
    <row r="86" spans="1:13">
      <c r="A86" s="27" t="s">
        <v>34</v>
      </c>
      <c r="B86" s="63"/>
      <c r="C86" s="63"/>
      <c r="D86" s="80"/>
      <c r="E86" s="29">
        <f t="shared" si="1"/>
        <v>108914.57999999999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72</v>
      </c>
      <c r="B87" s="63"/>
      <c r="C87" s="63"/>
      <c r="D87" s="80"/>
      <c r="E87" s="29">
        <f t="shared" si="1"/>
        <v>99</v>
      </c>
      <c r="F87" s="3"/>
      <c r="G87" s="278" t="s">
        <v>19</v>
      </c>
      <c r="H87" s="279"/>
      <c r="I87" s="308">
        <f>'CEF Julho 2020'!I91:J91</f>
        <v>62677.369999999122</v>
      </c>
      <c r="J87" s="309"/>
      <c r="K87" s="24"/>
    </row>
    <row r="88" spans="1:13">
      <c r="A88" s="27" t="s">
        <v>307</v>
      </c>
      <c r="B88" s="63"/>
      <c r="C88" s="63"/>
      <c r="D88" s="80"/>
      <c r="E88" s="29">
        <f t="shared" si="1"/>
        <v>0</v>
      </c>
      <c r="F88" s="3"/>
      <c r="G88" s="278" t="s">
        <v>409</v>
      </c>
      <c r="H88" s="279"/>
      <c r="I88" s="291">
        <f>249997.75+16000+16408.72+10986.48</f>
        <v>293392.94999999995</v>
      </c>
      <c r="J88" s="292"/>
      <c r="K88" s="24"/>
    </row>
    <row r="89" spans="1:13">
      <c r="A89" s="27" t="s">
        <v>120</v>
      </c>
      <c r="B89" s="63"/>
      <c r="C89" s="63"/>
      <c r="D89" s="80"/>
      <c r="E89" s="29">
        <f t="shared" si="1"/>
        <v>18693.89</v>
      </c>
      <c r="F89" s="3"/>
      <c r="G89" s="278" t="s">
        <v>147</v>
      </c>
      <c r="H89" s="279"/>
      <c r="I89" s="306">
        <f>-SUMIF($G$8:$G$53,G89,$E$8:$E$53)</f>
        <v>-293392.95</v>
      </c>
      <c r="J89" s="307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30"/>
      <c r="H90" s="31"/>
      <c r="I90" s="300"/>
      <c r="J90" s="301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10">
        <f>SUM(I87:J90)</f>
        <v>62677.369999999064</v>
      </c>
      <c r="J91" s="311"/>
      <c r="K91" s="24"/>
      <c r="M91" s="39"/>
    </row>
    <row r="92" spans="1:13">
      <c r="A92" s="27"/>
      <c r="B92" s="41"/>
      <c r="C92" s="41"/>
      <c r="D92" s="80"/>
      <c r="E92" s="29">
        <f t="shared" si="1"/>
        <v>0</v>
      </c>
      <c r="F92" s="3"/>
      <c r="G92" s="27"/>
      <c r="H92" s="26"/>
      <c r="I92" s="26"/>
      <c r="J92" s="4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8" t="s">
        <v>40</v>
      </c>
      <c r="H94" s="34"/>
      <c r="I94" s="304">
        <f>'CEF Julho 2020'!I98:J98</f>
        <v>19200.610000000011</v>
      </c>
      <c r="J94" s="3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27" t="s">
        <v>412</v>
      </c>
      <c r="H95" s="41"/>
      <c r="I95" s="306">
        <v>20131.93</v>
      </c>
      <c r="J95" s="307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/>
      <c r="H96" s="56"/>
      <c r="I96" s="306"/>
      <c r="J96" s="307"/>
      <c r="K96" s="24"/>
    </row>
    <row r="97" spans="1:11">
      <c r="A97" s="27"/>
      <c r="B97" s="63"/>
      <c r="C97" s="63"/>
      <c r="D97" s="80"/>
      <c r="E97" s="29">
        <f t="shared" ref="E97:E100" si="2">SUMIF($G$8:$G$53,A97,$D$8:$D$53)</f>
        <v>0</v>
      </c>
      <c r="F97" s="3"/>
      <c r="G97" s="59" t="s">
        <v>176</v>
      </c>
      <c r="H97" s="60"/>
      <c r="I97" s="300">
        <f>-SUMIF($G$8:$G$53,G97,$D$8:$D$53)</f>
        <v>-19200.61</v>
      </c>
      <c r="J97" s="301"/>
      <c r="K97" s="24"/>
    </row>
    <row r="98" spans="1:11">
      <c r="A98" s="62"/>
      <c r="B98" s="63"/>
      <c r="C98" s="63"/>
      <c r="D98" s="80"/>
      <c r="E98" s="29">
        <f t="shared" si="2"/>
        <v>0</v>
      </c>
      <c r="F98" s="3"/>
      <c r="G98" s="47" t="s">
        <v>17</v>
      </c>
      <c r="H98" s="48"/>
      <c r="I98" s="302">
        <f>SUM(I94:J97)</f>
        <v>20131.930000000008</v>
      </c>
      <c r="J98" s="303"/>
      <c r="K98" s="24"/>
    </row>
    <row r="99" spans="1:11">
      <c r="A99" s="27"/>
      <c r="B99" s="63"/>
      <c r="C99" s="63"/>
      <c r="D99" s="80"/>
      <c r="E99" s="29">
        <f t="shared" si="2"/>
        <v>0</v>
      </c>
      <c r="F99" s="3"/>
      <c r="G99" s="49"/>
      <c r="H99" s="41"/>
      <c r="I99" s="41"/>
      <c r="J99" s="280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413</v>
      </c>
      <c r="H101" s="279"/>
      <c r="I101" s="291">
        <v>32201.07</v>
      </c>
      <c r="J101" s="292"/>
      <c r="K101" s="24"/>
    </row>
    <row r="102" spans="1:11">
      <c r="A102" s="297" t="s">
        <v>22</v>
      </c>
      <c r="B102" s="298"/>
      <c r="C102" s="298"/>
      <c r="D102" s="81"/>
      <c r="E102" s="35">
        <f>SUM(E64:E100)</f>
        <v>478660.54000000004</v>
      </c>
      <c r="F102" s="3"/>
      <c r="G102" s="27"/>
      <c r="H102" s="279"/>
      <c r="I102" s="291"/>
      <c r="J102" s="292"/>
      <c r="K102" s="24"/>
    </row>
    <row r="103" spans="1:11">
      <c r="E103" s="46">
        <f>D54-E102</f>
        <v>0</v>
      </c>
      <c r="F103" s="3"/>
      <c r="G103" s="27"/>
      <c r="H103" s="41"/>
      <c r="I103" s="295"/>
      <c r="J103" s="296"/>
      <c r="K103" s="24"/>
    </row>
    <row r="104" spans="1:11">
      <c r="F104" s="3"/>
      <c r="G104" s="89" t="s">
        <v>18</v>
      </c>
      <c r="H104" s="88"/>
      <c r="I104" s="302">
        <f>SUM(I101:J103)</f>
        <v>32201.07</v>
      </c>
      <c r="J104" s="303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sortState ref="A64:E90">
    <sortCondition ref="A64"/>
  </sortState>
  <mergeCells count="44">
    <mergeCell ref="I103:J103"/>
    <mergeCell ref="I104:J104"/>
    <mergeCell ref="I96:J96"/>
    <mergeCell ref="I97:J97"/>
    <mergeCell ref="I98:J98"/>
    <mergeCell ref="I101:J101"/>
    <mergeCell ref="A102:C102"/>
    <mergeCell ref="I102:J102"/>
    <mergeCell ref="I88:J88"/>
    <mergeCell ref="I89:J89"/>
    <mergeCell ref="I90:J90"/>
    <mergeCell ref="I91:J91"/>
    <mergeCell ref="I94:J94"/>
    <mergeCell ref="I95:J95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A59:K59"/>
    <mergeCell ref="A2:K2"/>
    <mergeCell ref="A4:K4"/>
    <mergeCell ref="A6:F6"/>
    <mergeCell ref="G6:K6"/>
    <mergeCell ref="A54:B5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72"/>
  <sheetViews>
    <sheetView topLeftCell="A25" workbookViewId="0">
      <selection activeCell="I65" sqref="I65:J65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451783.4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642.24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745818.59000000008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745917.59000000008</v>
      </c>
      <c r="C9" s="165"/>
      <c r="D9" s="144"/>
      <c r="E9" s="185"/>
      <c r="F9" s="41"/>
    </row>
    <row r="10" spans="1:10" ht="15.75" thickBot="1"/>
    <row r="11" spans="1:10" ht="112.5" customHeight="1">
      <c r="A11" s="326" t="s">
        <v>242</v>
      </c>
      <c r="B11" s="326" t="s">
        <v>243</v>
      </c>
      <c r="C11" s="130" t="s">
        <v>244</v>
      </c>
      <c r="D11" s="130" t="s">
        <v>246</v>
      </c>
      <c r="E11" s="130" t="s">
        <v>248</v>
      </c>
      <c r="F11" s="326" t="s">
        <v>250</v>
      </c>
      <c r="J11" s="274" t="s">
        <v>399</v>
      </c>
    </row>
    <row r="12" spans="1:10" ht="67.5" customHeight="1" thickBot="1">
      <c r="A12" s="328"/>
      <c r="B12" s="328"/>
      <c r="C12" s="133" t="s">
        <v>245</v>
      </c>
      <c r="D12" s="133" t="s">
        <v>247</v>
      </c>
      <c r="E12" s="133" t="s">
        <v>249</v>
      </c>
      <c r="F12" s="328"/>
    </row>
    <row r="13" spans="1:10" ht="24.95" customHeight="1" thickBot="1">
      <c r="A13" s="118" t="s">
        <v>211</v>
      </c>
      <c r="B13" s="257">
        <v>162506.22</v>
      </c>
      <c r="C13" s="258">
        <f>D38+D39+D41+D42+D43+D49+D52+D58</f>
        <v>136157.72</v>
      </c>
      <c r="D13" s="115"/>
      <c r="E13" s="260">
        <f t="shared" ref="E13:E29" si="0">C13+D13</f>
        <v>136157.72</v>
      </c>
      <c r="F13" s="261">
        <f>511245.74+7999.95+954.96+9056.95</f>
        <v>529257.6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113460</v>
      </c>
      <c r="C19" s="258">
        <f>D44+D45+D55+D53</f>
        <v>113472.46999999999</v>
      </c>
      <c r="D19" s="115"/>
      <c r="E19" s="260">
        <f t="shared" si="0"/>
        <v>113472.46999999999</v>
      </c>
      <c r="F19" s="261">
        <f>11735.86+2176.2+1667.22+113460</f>
        <v>129039.28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99</v>
      </c>
      <c r="C27" s="151"/>
      <c r="D27" s="258">
        <f>D56</f>
        <v>99</v>
      </c>
      <c r="E27" s="260">
        <f t="shared" si="0"/>
        <v>99</v>
      </c>
      <c r="F27" s="115"/>
    </row>
    <row r="28" spans="1:10" ht="24.95" customHeight="1" thickBot="1">
      <c r="A28" s="114" t="s">
        <v>196</v>
      </c>
      <c r="B28" s="259">
        <v>20131.93</v>
      </c>
      <c r="C28" s="259">
        <f>D51</f>
        <v>19200.61</v>
      </c>
      <c r="D28" s="111"/>
      <c r="E28" s="260">
        <f>C28+D28</f>
        <v>19200.61</v>
      </c>
      <c r="F28" s="262">
        <f>20131.93</f>
        <v>20131.93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296197.14999999997</v>
      </c>
      <c r="C30" s="152">
        <f>SUM(C13:C29)</f>
        <v>268830.8</v>
      </c>
      <c r="D30" s="152">
        <f>SUM(D13:D29)</f>
        <v>99</v>
      </c>
      <c r="E30" s="152">
        <f>SUM(E13:E29)</f>
        <v>268929.8</v>
      </c>
      <c r="F30" s="152">
        <f>SUM(F13:F29)</f>
        <v>678428.81</v>
      </c>
      <c r="H30" s="244">
        <f>2675393.73-1996964.92</f>
        <v>678428.81</v>
      </c>
      <c r="I30" s="244">
        <f>F30-H30</f>
        <v>0</v>
      </c>
      <c r="J30" s="46"/>
    </row>
    <row r="31" spans="1:10">
      <c r="E31" s="46">
        <f>E30-D60</f>
        <v>0</v>
      </c>
    </row>
    <row r="33" spans="1:5">
      <c r="A33" s="4" t="s">
        <v>233</v>
      </c>
      <c r="B33" s="266"/>
      <c r="C33" s="266"/>
      <c r="D33" s="182">
        <v>0</v>
      </c>
    </row>
    <row r="34" spans="1:5">
      <c r="A34" s="4" t="s">
        <v>149</v>
      </c>
      <c r="B34" s="266"/>
      <c r="C34" s="266"/>
      <c r="D34" s="182"/>
      <c r="E34" s="182">
        <v>204713.68</v>
      </c>
    </row>
    <row r="35" spans="1:5">
      <c r="A35" s="222" t="s">
        <v>368</v>
      </c>
      <c r="B35" s="266"/>
      <c r="C35" s="266"/>
      <c r="D35" s="182">
        <v>0</v>
      </c>
    </row>
    <row r="36" spans="1:5">
      <c r="A36" s="4" t="s">
        <v>177</v>
      </c>
      <c r="B36" s="266"/>
      <c r="C36" s="266"/>
      <c r="D36" s="182">
        <v>0</v>
      </c>
    </row>
    <row r="37" spans="1:5">
      <c r="A37" s="4" t="s">
        <v>255</v>
      </c>
      <c r="B37" s="266"/>
      <c r="C37" s="266"/>
      <c r="D37" s="182">
        <v>0</v>
      </c>
    </row>
    <row r="38" spans="1:5">
      <c r="A38" s="4" t="s">
        <v>175</v>
      </c>
      <c r="B38" s="266"/>
      <c r="C38" s="266"/>
      <c r="D38" s="182">
        <v>11327.62</v>
      </c>
    </row>
    <row r="39" spans="1:5">
      <c r="A39" s="4" t="s">
        <v>271</v>
      </c>
      <c r="B39" s="266"/>
      <c r="C39" s="266"/>
      <c r="D39" s="182">
        <v>5174.38</v>
      </c>
    </row>
    <row r="40" spans="1:5">
      <c r="A40" s="4" t="s">
        <v>25</v>
      </c>
      <c r="B40" s="266"/>
      <c r="C40" s="266"/>
      <c r="D40" s="182">
        <v>0</v>
      </c>
    </row>
    <row r="41" spans="1:5">
      <c r="A41" s="4" t="s">
        <v>270</v>
      </c>
      <c r="B41" s="266"/>
      <c r="C41" s="266"/>
      <c r="D41" s="182">
        <v>86636.58</v>
      </c>
    </row>
    <row r="42" spans="1:5">
      <c r="A42" s="4" t="s">
        <v>29</v>
      </c>
      <c r="B42" s="266"/>
      <c r="C42" s="266"/>
      <c r="D42" s="182">
        <v>9933.4500000000007</v>
      </c>
    </row>
    <row r="43" spans="1:5">
      <c r="A43" s="4" t="s">
        <v>282</v>
      </c>
      <c r="B43" s="266"/>
      <c r="C43" s="266"/>
      <c r="D43" s="182">
        <v>3454.36</v>
      </c>
    </row>
    <row r="44" spans="1:5">
      <c r="A44" s="4" t="s">
        <v>273</v>
      </c>
      <c r="B44" s="266"/>
      <c r="C44" s="266"/>
      <c r="D44" s="182">
        <v>734.4</v>
      </c>
    </row>
    <row r="45" spans="1:5">
      <c r="A45" s="4" t="s">
        <v>218</v>
      </c>
      <c r="B45" s="266"/>
      <c r="C45" s="266"/>
      <c r="D45" s="182">
        <v>1546.8500000000001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6">
      <c r="A49" s="4" t="s">
        <v>150</v>
      </c>
      <c r="B49" s="266"/>
      <c r="C49" s="266"/>
      <c r="D49" s="182">
        <v>441.6</v>
      </c>
    </row>
    <row r="50" spans="1:6">
      <c r="A50" s="4" t="s">
        <v>220</v>
      </c>
      <c r="B50" s="266"/>
      <c r="C50" s="266"/>
      <c r="D50" s="182"/>
      <c r="E50" s="182">
        <v>5017.0600000000004</v>
      </c>
    </row>
    <row r="51" spans="1:6">
      <c r="A51" s="4" t="s">
        <v>176</v>
      </c>
      <c r="B51" s="266"/>
      <c r="C51" s="266"/>
      <c r="D51" s="182">
        <v>19200.61</v>
      </c>
    </row>
    <row r="52" spans="1:6">
      <c r="A52" s="4" t="s">
        <v>272</v>
      </c>
      <c r="B52" s="266"/>
      <c r="C52" s="266"/>
      <c r="D52" s="182">
        <v>495.84000000000003</v>
      </c>
    </row>
    <row r="53" spans="1:6">
      <c r="A53" s="4" t="s">
        <v>43</v>
      </c>
      <c r="B53" s="266"/>
      <c r="C53" s="266"/>
      <c r="D53" s="182">
        <v>2276.64</v>
      </c>
    </row>
    <row r="54" spans="1:6">
      <c r="A54" s="4" t="s">
        <v>179</v>
      </c>
      <c r="B54" s="266"/>
      <c r="C54" s="266"/>
      <c r="D54" s="182">
        <v>0</v>
      </c>
    </row>
    <row r="55" spans="1:6">
      <c r="A55" s="4" t="s">
        <v>34</v>
      </c>
      <c r="B55" s="266"/>
      <c r="C55" s="266"/>
      <c r="D55" s="182">
        <v>108914.57999999999</v>
      </c>
    </row>
    <row r="56" spans="1:6">
      <c r="A56" s="4" t="s">
        <v>72</v>
      </c>
      <c r="B56" s="266"/>
      <c r="C56" s="266"/>
      <c r="D56" s="182">
        <v>99</v>
      </c>
    </row>
    <row r="57" spans="1:6">
      <c r="A57" s="4" t="s">
        <v>307</v>
      </c>
      <c r="B57" s="266"/>
      <c r="C57" s="266"/>
      <c r="D57" s="182">
        <v>0</v>
      </c>
    </row>
    <row r="58" spans="1:6">
      <c r="A58" s="4" t="s">
        <v>120</v>
      </c>
      <c r="B58" s="266"/>
      <c r="C58" s="266"/>
      <c r="D58" s="182">
        <v>18693.89</v>
      </c>
    </row>
    <row r="59" spans="1:6">
      <c r="A59" s="266"/>
      <c r="B59" s="266"/>
      <c r="C59" s="266"/>
      <c r="D59" s="182"/>
    </row>
    <row r="60" spans="1:6">
      <c r="A60" s="335" t="s">
        <v>194</v>
      </c>
      <c r="B60" s="336"/>
      <c r="C60" s="294"/>
      <c r="D60" s="267">
        <f>SUM(D33:D58)</f>
        <v>268929.8</v>
      </c>
      <c r="E60" s="267">
        <f>SUM(E33:E58)</f>
        <v>209730.74</v>
      </c>
      <c r="F60" s="46">
        <f>D60+E60</f>
        <v>478660.54</v>
      </c>
    </row>
    <row r="61" spans="1:6">
      <c r="F61" s="46">
        <f>F60-'CEF Agosto 2020'!E102</f>
        <v>0</v>
      </c>
    </row>
    <row r="62" spans="1:6" ht="15.75" thickBot="1">
      <c r="C62" s="92"/>
      <c r="D62" s="92"/>
      <c r="E62" s="248"/>
    </row>
    <row r="63" spans="1:6" ht="23.25" thickBot="1">
      <c r="A63" s="154" t="s">
        <v>258</v>
      </c>
      <c r="B63" s="253">
        <f>B9</f>
        <v>745917.59000000008</v>
      </c>
      <c r="C63" s="92"/>
      <c r="D63" s="92"/>
      <c r="E63" s="92"/>
    </row>
    <row r="64" spans="1:6" ht="23.25" thickBot="1">
      <c r="A64" s="155" t="s">
        <v>259</v>
      </c>
      <c r="B64" s="254">
        <f>B63-B65</f>
        <v>268929.8000000001</v>
      </c>
      <c r="C64" s="264">
        <f>D60-B64</f>
        <v>0</v>
      </c>
      <c r="D64" s="92"/>
      <c r="E64" s="92"/>
    </row>
    <row r="65" spans="1:5" ht="23.25" thickBot="1">
      <c r="A65" s="155" t="s">
        <v>260</v>
      </c>
      <c r="B65" s="252">
        <v>476987.79</v>
      </c>
      <c r="C65" s="263"/>
      <c r="D65" s="263"/>
      <c r="E65" s="249"/>
    </row>
    <row r="66" spans="1:5" ht="23.25" thickBot="1">
      <c r="A66" s="155" t="s">
        <v>261</v>
      </c>
      <c r="B66" s="111">
        <v>0</v>
      </c>
      <c r="C66" s="92"/>
      <c r="D66" s="92"/>
      <c r="E66" s="92"/>
    </row>
    <row r="67" spans="1:5" ht="34.5" thickBot="1">
      <c r="A67" s="155" t="s">
        <v>262</v>
      </c>
      <c r="B67" s="251">
        <f>B65-B66</f>
        <v>476987.79</v>
      </c>
      <c r="C67" s="92"/>
      <c r="D67" s="92"/>
      <c r="E67" s="46"/>
    </row>
    <row r="70" spans="1:5">
      <c r="E70" s="46"/>
    </row>
    <row r="72" spans="1:5">
      <c r="A72" s="274" t="s">
        <v>377</v>
      </c>
    </row>
  </sheetData>
  <mergeCells count="4">
    <mergeCell ref="A11:A12"/>
    <mergeCell ref="B11:B12"/>
    <mergeCell ref="F11:F12"/>
    <mergeCell ref="A60:C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6"/>
  <sheetViews>
    <sheetView topLeftCell="A67" workbookViewId="0">
      <selection activeCell="I65" sqref="I65:J65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414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44075</v>
      </c>
      <c r="B10" s="4">
        <v>727220</v>
      </c>
      <c r="C10" s="4" t="s">
        <v>60</v>
      </c>
      <c r="D10" s="77"/>
      <c r="E10" s="77">
        <v>11726.960000000001</v>
      </c>
      <c r="F10" s="6">
        <f t="shared" ref="F10:F55" si="0">F9-D10+E10</f>
        <v>11726.960000000001</v>
      </c>
      <c r="G10" s="9" t="s">
        <v>145</v>
      </c>
      <c r="H10" s="7"/>
      <c r="I10" s="4"/>
      <c r="J10" s="19"/>
      <c r="K10" s="16"/>
    </row>
    <row r="11" spans="1:11">
      <c r="A11" s="15">
        <v>44075</v>
      </c>
      <c r="B11" s="4">
        <v>898333</v>
      </c>
      <c r="C11" s="4" t="s">
        <v>52</v>
      </c>
      <c r="D11" s="77">
        <v>11726.960000000001</v>
      </c>
      <c r="E11" s="5"/>
      <c r="F11" s="6">
        <f t="shared" si="0"/>
        <v>0</v>
      </c>
      <c r="G11" s="9" t="s">
        <v>175</v>
      </c>
      <c r="H11" s="7" t="s">
        <v>45</v>
      </c>
      <c r="I11" s="4">
        <v>637333</v>
      </c>
      <c r="J11" s="19">
        <v>30</v>
      </c>
      <c r="K11" s="16">
        <v>44078</v>
      </c>
    </row>
    <row r="12" spans="1:11">
      <c r="A12" s="15">
        <v>44077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44077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293392.95</v>
      </c>
      <c r="G13" s="9" t="s">
        <v>147</v>
      </c>
      <c r="H13" s="7"/>
      <c r="I13" s="4"/>
      <c r="J13" s="19"/>
      <c r="K13" s="16"/>
    </row>
    <row r="14" spans="1:11">
      <c r="A14" s="15">
        <v>44078</v>
      </c>
      <c r="B14" s="4">
        <v>214977</v>
      </c>
      <c r="C14" s="4" t="s">
        <v>58</v>
      </c>
      <c r="D14" s="77">
        <v>197839.96</v>
      </c>
      <c r="E14" s="5"/>
      <c r="F14" s="6">
        <f t="shared" si="0"/>
        <v>95552.99000000002</v>
      </c>
      <c r="G14" s="9" t="s">
        <v>149</v>
      </c>
      <c r="H14" s="7"/>
      <c r="I14" s="4"/>
      <c r="J14" s="19"/>
      <c r="K14" s="16"/>
    </row>
    <row r="15" spans="1:11">
      <c r="A15" s="15">
        <v>44078</v>
      </c>
      <c r="B15" s="4">
        <v>172890</v>
      </c>
      <c r="C15" s="4" t="s">
        <v>55</v>
      </c>
      <c r="D15" s="77">
        <v>513.36</v>
      </c>
      <c r="E15" s="5"/>
      <c r="F15" s="6">
        <f t="shared" si="0"/>
        <v>95039.630000000019</v>
      </c>
      <c r="G15" s="9" t="s">
        <v>272</v>
      </c>
      <c r="H15" s="7" t="s">
        <v>117</v>
      </c>
      <c r="I15" s="4">
        <v>20</v>
      </c>
      <c r="J15" s="19">
        <v>1</v>
      </c>
      <c r="K15" s="16">
        <v>44077</v>
      </c>
    </row>
    <row r="16" spans="1:11">
      <c r="A16" s="15">
        <v>44078</v>
      </c>
      <c r="B16" s="4">
        <v>796407</v>
      </c>
      <c r="C16" s="4" t="s">
        <v>52</v>
      </c>
      <c r="D16" s="77">
        <v>8.9</v>
      </c>
      <c r="E16" s="5"/>
      <c r="F16" s="6">
        <f t="shared" si="0"/>
        <v>95030.730000000025</v>
      </c>
      <c r="G16" s="9" t="s">
        <v>28</v>
      </c>
      <c r="H16" s="7" t="s">
        <v>46</v>
      </c>
      <c r="I16" s="4">
        <v>3592</v>
      </c>
      <c r="J16" s="19">
        <v>1</v>
      </c>
      <c r="K16" s="16">
        <v>44048</v>
      </c>
    </row>
    <row r="17" spans="1:11">
      <c r="A17" s="15">
        <v>44078</v>
      </c>
      <c r="B17" s="4">
        <v>309379</v>
      </c>
      <c r="C17" s="4" t="s">
        <v>172</v>
      </c>
      <c r="D17" s="77">
        <v>95030.73</v>
      </c>
      <c r="E17" s="5"/>
      <c r="F17" s="6">
        <f t="shared" si="0"/>
        <v>2.9103830456733704E-11</v>
      </c>
      <c r="G17" s="9" t="s">
        <v>270</v>
      </c>
      <c r="H17" s="7"/>
      <c r="I17" s="4"/>
      <c r="J17" s="19"/>
      <c r="K17" s="16"/>
    </row>
    <row r="18" spans="1:11">
      <c r="A18" s="15">
        <v>44082</v>
      </c>
      <c r="B18" s="4">
        <v>727220</v>
      </c>
      <c r="C18" s="4" t="s">
        <v>60</v>
      </c>
      <c r="D18" s="77"/>
      <c r="E18" s="77">
        <v>99</v>
      </c>
      <c r="F18" s="6">
        <f t="shared" si="0"/>
        <v>99.000000000029104</v>
      </c>
      <c r="G18" s="9" t="s">
        <v>145</v>
      </c>
      <c r="H18" s="7"/>
      <c r="I18" s="4"/>
      <c r="J18" s="19"/>
      <c r="K18" s="16"/>
    </row>
    <row r="19" spans="1:11">
      <c r="A19" s="15">
        <v>44082</v>
      </c>
      <c r="B19" s="4">
        <v>82020</v>
      </c>
      <c r="C19" s="4" t="s">
        <v>188</v>
      </c>
      <c r="D19" s="77">
        <v>99</v>
      </c>
      <c r="E19" s="5"/>
      <c r="F19" s="6">
        <f t="shared" si="0"/>
        <v>2.9103830456733704E-11</v>
      </c>
      <c r="G19" s="9" t="s">
        <v>72</v>
      </c>
      <c r="H19" s="7"/>
      <c r="I19" s="4"/>
      <c r="J19" s="19"/>
      <c r="K19" s="16"/>
    </row>
    <row r="20" spans="1:11">
      <c r="A20" s="15">
        <v>44084</v>
      </c>
      <c r="B20" s="4">
        <v>727220</v>
      </c>
      <c r="C20" s="4" t="s">
        <v>60</v>
      </c>
      <c r="D20" s="77"/>
      <c r="E20" s="77">
        <v>3847.62</v>
      </c>
      <c r="F20" s="6">
        <f t="shared" si="0"/>
        <v>3847.620000000029</v>
      </c>
      <c r="G20" s="9" t="s">
        <v>145</v>
      </c>
      <c r="H20" s="7"/>
      <c r="I20" s="4"/>
      <c r="J20" s="19"/>
      <c r="K20" s="16"/>
    </row>
    <row r="21" spans="1:11">
      <c r="A21" s="15">
        <v>44084</v>
      </c>
      <c r="B21" s="4">
        <v>675412</v>
      </c>
      <c r="C21" s="4" t="s">
        <v>216</v>
      </c>
      <c r="D21" s="77">
        <v>1667.22</v>
      </c>
      <c r="E21" s="5"/>
      <c r="F21" s="6">
        <f t="shared" si="0"/>
        <v>2180.4000000000287</v>
      </c>
      <c r="G21" s="9" t="s">
        <v>218</v>
      </c>
      <c r="H21" s="7" t="s">
        <v>222</v>
      </c>
      <c r="I21" s="4">
        <v>889421094</v>
      </c>
      <c r="J21" s="19">
        <v>1</v>
      </c>
      <c r="K21" s="16">
        <v>44084</v>
      </c>
    </row>
    <row r="22" spans="1:11">
      <c r="A22" s="15">
        <v>44084</v>
      </c>
      <c r="B22" s="4">
        <v>300504</v>
      </c>
      <c r="C22" s="4" t="s">
        <v>57</v>
      </c>
      <c r="D22" s="77">
        <v>2180.4</v>
      </c>
      <c r="E22" s="5"/>
      <c r="F22" s="6">
        <f t="shared" si="0"/>
        <v>2.8649083105847239E-11</v>
      </c>
      <c r="G22" s="9" t="s">
        <v>34</v>
      </c>
      <c r="H22" s="7" t="s">
        <v>343</v>
      </c>
      <c r="I22" s="4">
        <v>1135</v>
      </c>
      <c r="J22" s="19">
        <v>12</v>
      </c>
      <c r="K22" s="16">
        <v>44075</v>
      </c>
    </row>
    <row r="23" spans="1:11">
      <c r="A23" s="15">
        <v>44089</v>
      </c>
      <c r="B23" s="4">
        <v>300510</v>
      </c>
      <c r="C23" s="4" t="s">
        <v>57</v>
      </c>
      <c r="D23" s="77">
        <v>11000</v>
      </c>
      <c r="E23" s="5"/>
      <c r="F23" s="6">
        <f t="shared" si="0"/>
        <v>-10999.999999999971</v>
      </c>
      <c r="G23" s="9" t="s">
        <v>34</v>
      </c>
      <c r="H23" s="7" t="s">
        <v>369</v>
      </c>
      <c r="I23" s="4">
        <v>23</v>
      </c>
      <c r="J23" s="19">
        <v>9</v>
      </c>
      <c r="K23" s="16">
        <v>44078</v>
      </c>
    </row>
    <row r="24" spans="1:11">
      <c r="A24" s="15">
        <v>44089</v>
      </c>
      <c r="B24" s="4">
        <v>300514</v>
      </c>
      <c r="C24" s="4" t="s">
        <v>57</v>
      </c>
      <c r="D24" s="77">
        <v>1943.72</v>
      </c>
      <c r="E24" s="5"/>
      <c r="F24" s="6">
        <f t="shared" si="0"/>
        <v>-12943.71999999997</v>
      </c>
      <c r="G24" s="9" t="s">
        <v>34</v>
      </c>
      <c r="H24" s="7" t="s">
        <v>310</v>
      </c>
      <c r="I24" s="4">
        <v>123</v>
      </c>
      <c r="J24" s="19">
        <v>4</v>
      </c>
      <c r="K24" s="16">
        <v>44083</v>
      </c>
    </row>
    <row r="25" spans="1:11">
      <c r="A25" s="15">
        <v>44089</v>
      </c>
      <c r="B25" s="4">
        <v>300512</v>
      </c>
      <c r="C25" s="4" t="s">
        <v>57</v>
      </c>
      <c r="D25" s="77">
        <v>10792.98</v>
      </c>
      <c r="E25" s="5"/>
      <c r="F25" s="6">
        <f t="shared" si="0"/>
        <v>-23736.699999999968</v>
      </c>
      <c r="G25" s="9" t="s">
        <v>34</v>
      </c>
      <c r="H25" s="7" t="s">
        <v>352</v>
      </c>
      <c r="I25" s="4">
        <v>71</v>
      </c>
      <c r="J25" s="19">
        <v>10</v>
      </c>
      <c r="K25" s="16">
        <v>44078</v>
      </c>
    </row>
    <row r="26" spans="1:11">
      <c r="A26" s="15">
        <v>44089</v>
      </c>
      <c r="B26" s="4">
        <v>300509</v>
      </c>
      <c r="C26" s="4" t="s">
        <v>367</v>
      </c>
      <c r="D26" s="77"/>
      <c r="E26" s="77">
        <v>11000</v>
      </c>
      <c r="F26" s="6">
        <f t="shared" si="0"/>
        <v>-12736.699999999968</v>
      </c>
      <c r="G26" s="9" t="s">
        <v>368</v>
      </c>
      <c r="H26" s="7" t="s">
        <v>361</v>
      </c>
      <c r="I26" s="4">
        <v>69</v>
      </c>
      <c r="J26" s="19"/>
      <c r="K26" s="16">
        <v>44078</v>
      </c>
    </row>
    <row r="27" spans="1:11">
      <c r="A27" s="15">
        <v>44089</v>
      </c>
      <c r="B27" s="4">
        <v>300509</v>
      </c>
      <c r="C27" s="4" t="s">
        <v>57</v>
      </c>
      <c r="D27" s="77">
        <v>11000</v>
      </c>
      <c r="E27" s="5"/>
      <c r="F27" s="6">
        <f t="shared" si="0"/>
        <v>-23736.699999999968</v>
      </c>
      <c r="G27" s="9" t="s">
        <v>220</v>
      </c>
      <c r="H27" s="7" t="s">
        <v>361</v>
      </c>
      <c r="I27" s="4">
        <v>69</v>
      </c>
      <c r="J27" s="19">
        <v>6</v>
      </c>
      <c r="K27" s="16">
        <v>44078</v>
      </c>
    </row>
    <row r="28" spans="1:11">
      <c r="A28" s="15">
        <v>44089</v>
      </c>
      <c r="B28" s="4">
        <v>300513</v>
      </c>
      <c r="C28" s="4" t="s">
        <v>57</v>
      </c>
      <c r="D28" s="77">
        <v>4605.54</v>
      </c>
      <c r="E28" s="5"/>
      <c r="F28" s="6">
        <f t="shared" si="0"/>
        <v>-28342.239999999969</v>
      </c>
      <c r="G28" s="9" t="s">
        <v>34</v>
      </c>
      <c r="H28" s="7" t="s">
        <v>394</v>
      </c>
      <c r="I28" s="4">
        <v>45</v>
      </c>
      <c r="J28" s="19">
        <v>1</v>
      </c>
      <c r="K28" s="16">
        <v>44078</v>
      </c>
    </row>
    <row r="29" spans="1:11">
      <c r="A29" s="15">
        <v>44089</v>
      </c>
      <c r="B29" s="4">
        <v>300511</v>
      </c>
      <c r="C29" s="4" t="s">
        <v>367</v>
      </c>
      <c r="D29" s="77"/>
      <c r="E29" s="77">
        <v>9720</v>
      </c>
      <c r="F29" s="6">
        <f t="shared" si="0"/>
        <v>-18622.239999999969</v>
      </c>
      <c r="G29" s="9" t="s">
        <v>368</v>
      </c>
      <c r="H29" s="7" t="s">
        <v>302</v>
      </c>
      <c r="I29" s="4">
        <v>146</v>
      </c>
      <c r="J29" s="19"/>
      <c r="K29" s="16">
        <v>44078</v>
      </c>
    </row>
    <row r="30" spans="1:11">
      <c r="A30" s="15">
        <v>44089</v>
      </c>
      <c r="B30" s="4">
        <v>300511</v>
      </c>
      <c r="C30" s="4" t="s">
        <v>57</v>
      </c>
      <c r="D30" s="77">
        <v>9720</v>
      </c>
      <c r="E30" s="5"/>
      <c r="F30" s="6">
        <f t="shared" si="0"/>
        <v>-28342.239999999969</v>
      </c>
      <c r="G30" s="9" t="s">
        <v>220</v>
      </c>
      <c r="H30" s="7" t="s">
        <v>302</v>
      </c>
      <c r="I30" s="4">
        <v>146</v>
      </c>
      <c r="J30" s="19">
        <v>5</v>
      </c>
      <c r="K30" s="16">
        <v>44078</v>
      </c>
    </row>
    <row r="31" spans="1:11">
      <c r="A31" s="15">
        <v>44089</v>
      </c>
      <c r="B31" s="4">
        <v>300507</v>
      </c>
      <c r="C31" s="4" t="s">
        <v>57</v>
      </c>
      <c r="D31" s="77">
        <v>19867.240000000002</v>
      </c>
      <c r="E31" s="5"/>
      <c r="F31" s="6">
        <f t="shared" si="0"/>
        <v>-48209.479999999967</v>
      </c>
      <c r="G31" s="9" t="s">
        <v>34</v>
      </c>
      <c r="H31" s="7" t="s">
        <v>128</v>
      </c>
      <c r="I31" s="4">
        <v>73</v>
      </c>
      <c r="J31" s="19">
        <v>24</v>
      </c>
      <c r="K31" s="16">
        <v>44082</v>
      </c>
    </row>
    <row r="32" spans="1:11">
      <c r="A32" s="15">
        <v>44089</v>
      </c>
      <c r="B32" s="4">
        <v>300506</v>
      </c>
      <c r="C32" s="4" t="s">
        <v>57</v>
      </c>
      <c r="D32" s="77">
        <v>12755.84</v>
      </c>
      <c r="E32" s="5"/>
      <c r="F32" s="6">
        <f t="shared" si="0"/>
        <v>-60965.319999999963</v>
      </c>
      <c r="G32" s="9" t="s">
        <v>220</v>
      </c>
      <c r="H32" s="7" t="s">
        <v>224</v>
      </c>
      <c r="I32" s="4">
        <v>59</v>
      </c>
      <c r="J32" s="19">
        <v>1</v>
      </c>
      <c r="K32" s="16">
        <v>44082</v>
      </c>
    </row>
    <row r="33" spans="1:11">
      <c r="A33" s="15">
        <v>44089</v>
      </c>
      <c r="B33" s="4">
        <v>300506</v>
      </c>
      <c r="C33" s="4" t="s">
        <v>392</v>
      </c>
      <c r="D33" s="77"/>
      <c r="E33" s="77">
        <v>12755.84</v>
      </c>
      <c r="F33" s="6">
        <f t="shared" si="0"/>
        <v>-48209.479999999967</v>
      </c>
      <c r="G33" s="9" t="s">
        <v>368</v>
      </c>
      <c r="H33" s="7" t="s">
        <v>224</v>
      </c>
      <c r="I33" s="4">
        <v>59</v>
      </c>
      <c r="J33" s="19"/>
      <c r="K33" s="16">
        <v>44082</v>
      </c>
    </row>
    <row r="34" spans="1:11">
      <c r="A34" s="15">
        <v>44089</v>
      </c>
      <c r="B34" s="4">
        <v>300506</v>
      </c>
      <c r="C34" s="4" t="s">
        <v>393</v>
      </c>
      <c r="D34" s="77">
        <v>12755.34</v>
      </c>
      <c r="E34" s="5"/>
      <c r="F34" s="6">
        <f t="shared" si="0"/>
        <v>-60964.819999999963</v>
      </c>
      <c r="G34" s="9" t="s">
        <v>34</v>
      </c>
      <c r="H34" s="7" t="s">
        <v>224</v>
      </c>
      <c r="I34" s="4">
        <v>59</v>
      </c>
      <c r="J34" s="19"/>
      <c r="K34" s="16">
        <v>44082</v>
      </c>
    </row>
    <row r="35" spans="1:11">
      <c r="A35" s="15">
        <v>44089</v>
      </c>
      <c r="B35" s="4">
        <v>300508</v>
      </c>
      <c r="C35" s="4" t="s">
        <v>57</v>
      </c>
      <c r="D35" s="77">
        <v>18357.060000000001</v>
      </c>
      <c r="E35" s="5"/>
      <c r="F35" s="6">
        <f t="shared" si="0"/>
        <v>-79321.879999999961</v>
      </c>
      <c r="G35" s="9" t="s">
        <v>34</v>
      </c>
      <c r="H35" s="7" t="s">
        <v>127</v>
      </c>
      <c r="I35" s="4">
        <v>95</v>
      </c>
      <c r="J35" s="19">
        <v>6</v>
      </c>
      <c r="K35" s="16">
        <v>44078</v>
      </c>
    </row>
    <row r="36" spans="1:11">
      <c r="A36" s="15">
        <v>44089</v>
      </c>
      <c r="B36" s="4">
        <v>151454</v>
      </c>
      <c r="C36" s="4" t="s">
        <v>173</v>
      </c>
      <c r="D36" s="77">
        <v>2352</v>
      </c>
      <c r="E36" s="5"/>
      <c r="F36" s="6">
        <f t="shared" si="0"/>
        <v>-81673.879999999961</v>
      </c>
      <c r="G36" s="9" t="s">
        <v>34</v>
      </c>
      <c r="H36" s="7" t="s">
        <v>223</v>
      </c>
      <c r="I36" s="4">
        <v>655</v>
      </c>
      <c r="J36" s="19">
        <v>4</v>
      </c>
      <c r="K36" s="16">
        <v>44076</v>
      </c>
    </row>
    <row r="37" spans="1:11">
      <c r="A37" s="15">
        <v>44089</v>
      </c>
      <c r="B37" s="4">
        <v>300505</v>
      </c>
      <c r="C37" s="4" t="s">
        <v>57</v>
      </c>
      <c r="D37" s="77">
        <v>4054.32</v>
      </c>
      <c r="E37" s="5"/>
      <c r="F37" s="6">
        <f t="shared" si="0"/>
        <v>-85728.199999999968</v>
      </c>
      <c r="G37" s="9" t="s">
        <v>34</v>
      </c>
      <c r="H37" s="7" t="s">
        <v>341</v>
      </c>
      <c r="I37" s="4">
        <v>365</v>
      </c>
      <c r="J37" s="19">
        <v>12</v>
      </c>
      <c r="K37" s="16">
        <v>44078</v>
      </c>
    </row>
    <row r="38" spans="1:11">
      <c r="A38" s="15">
        <v>44089</v>
      </c>
      <c r="B38" s="4">
        <v>727220</v>
      </c>
      <c r="C38" s="4" t="s">
        <v>60</v>
      </c>
      <c r="D38" s="77"/>
      <c r="E38" s="77">
        <v>106448.7</v>
      </c>
      <c r="F38" s="6">
        <f t="shared" si="0"/>
        <v>20720.500000000029</v>
      </c>
      <c r="G38" s="9" t="s">
        <v>145</v>
      </c>
      <c r="H38" s="7"/>
      <c r="I38" s="4"/>
      <c r="J38" s="19"/>
      <c r="K38" s="16"/>
    </row>
    <row r="39" spans="1:11">
      <c r="A39" s="15">
        <v>44090</v>
      </c>
      <c r="B39" s="4">
        <v>20</v>
      </c>
      <c r="C39" s="4" t="s">
        <v>217</v>
      </c>
      <c r="D39" s="77">
        <v>36.5</v>
      </c>
      <c r="E39" s="5"/>
      <c r="F39" s="6">
        <f t="shared" si="0"/>
        <v>20684.000000000029</v>
      </c>
      <c r="G39" s="9" t="s">
        <v>72</v>
      </c>
      <c r="H39" s="7"/>
      <c r="I39" s="4"/>
      <c r="J39" s="19"/>
      <c r="K39" s="16"/>
    </row>
    <row r="40" spans="1:11">
      <c r="A40" s="15">
        <v>44090</v>
      </c>
      <c r="B40" s="4">
        <v>23</v>
      </c>
      <c r="C40" s="4" t="s">
        <v>68</v>
      </c>
      <c r="D40" s="77">
        <v>0.35000000000000003</v>
      </c>
      <c r="E40" s="5"/>
      <c r="F40" s="6">
        <f t="shared" si="0"/>
        <v>20683.650000000031</v>
      </c>
      <c r="G40" s="9" t="s">
        <v>220</v>
      </c>
      <c r="H40" s="7"/>
      <c r="I40" s="4"/>
      <c r="J40" s="19"/>
      <c r="K40" s="16"/>
    </row>
    <row r="41" spans="1:11">
      <c r="A41" s="15">
        <v>44090</v>
      </c>
      <c r="B41" s="4">
        <v>1</v>
      </c>
      <c r="C41" s="4" t="s">
        <v>68</v>
      </c>
      <c r="D41" s="77">
        <v>0.35000000000000003</v>
      </c>
      <c r="E41" s="5"/>
      <c r="F41" s="6">
        <f t="shared" si="0"/>
        <v>20683.300000000032</v>
      </c>
      <c r="G41" s="9" t="s">
        <v>220</v>
      </c>
      <c r="H41" s="7"/>
      <c r="I41" s="4"/>
      <c r="J41" s="19"/>
      <c r="K41" s="16"/>
    </row>
    <row r="42" spans="1:11">
      <c r="A42" s="15">
        <v>44092</v>
      </c>
      <c r="B42" s="4">
        <v>815730</v>
      </c>
      <c r="C42" s="4" t="s">
        <v>54</v>
      </c>
      <c r="D42" s="77">
        <v>10195.51</v>
      </c>
      <c r="E42" s="5"/>
      <c r="F42" s="6">
        <f t="shared" si="0"/>
        <v>10487.790000000032</v>
      </c>
      <c r="G42" s="9" t="s">
        <v>29</v>
      </c>
      <c r="H42" s="7" t="s">
        <v>116</v>
      </c>
      <c r="I42" s="4">
        <v>115</v>
      </c>
      <c r="J42" s="19">
        <v>1</v>
      </c>
      <c r="K42" s="16">
        <v>44083</v>
      </c>
    </row>
    <row r="43" spans="1:11">
      <c r="A43" s="15">
        <v>44092</v>
      </c>
      <c r="B43" s="4">
        <v>417662</v>
      </c>
      <c r="C43" s="4" t="s">
        <v>53</v>
      </c>
      <c r="D43" s="77">
        <v>120.16</v>
      </c>
      <c r="E43" s="5"/>
      <c r="F43" s="6">
        <f t="shared" si="0"/>
        <v>10367.630000000032</v>
      </c>
      <c r="G43" s="9" t="s">
        <v>282</v>
      </c>
      <c r="H43" s="7" t="s">
        <v>256</v>
      </c>
      <c r="I43" s="4">
        <v>60</v>
      </c>
      <c r="J43" s="19">
        <v>1</v>
      </c>
      <c r="K43" s="16">
        <v>44083</v>
      </c>
    </row>
    <row r="44" spans="1:11">
      <c r="A44" s="15">
        <v>44092</v>
      </c>
      <c r="B44" s="4">
        <v>417804</v>
      </c>
      <c r="C44" s="4" t="s">
        <v>53</v>
      </c>
      <c r="D44" s="77">
        <v>3385.1800000000003</v>
      </c>
      <c r="E44" s="5"/>
      <c r="F44" s="6">
        <f t="shared" si="0"/>
        <v>6982.4500000000317</v>
      </c>
      <c r="G44" s="9" t="s">
        <v>282</v>
      </c>
      <c r="H44" s="7" t="s">
        <v>256</v>
      </c>
      <c r="I44" s="4">
        <v>58</v>
      </c>
      <c r="J44" s="19">
        <v>1</v>
      </c>
      <c r="K44" s="16">
        <v>44083</v>
      </c>
    </row>
    <row r="45" spans="1:11">
      <c r="A45" s="15">
        <v>44092</v>
      </c>
      <c r="B45" s="4">
        <v>177554</v>
      </c>
      <c r="C45" s="4" t="s">
        <v>55</v>
      </c>
      <c r="D45" s="77">
        <v>11000</v>
      </c>
      <c r="E45" s="5"/>
      <c r="F45" s="6">
        <f t="shared" si="0"/>
        <v>-4017.5499999999683</v>
      </c>
      <c r="G45" s="9" t="s">
        <v>34</v>
      </c>
      <c r="H45" s="7" t="s">
        <v>361</v>
      </c>
      <c r="I45" s="4">
        <v>69</v>
      </c>
      <c r="J45" s="19">
        <v>1</v>
      </c>
      <c r="K45" s="16">
        <v>44078</v>
      </c>
    </row>
    <row r="46" spans="1:11">
      <c r="A46" s="15">
        <v>44092</v>
      </c>
      <c r="B46" s="4">
        <v>176998</v>
      </c>
      <c r="C46" s="4" t="s">
        <v>55</v>
      </c>
      <c r="D46" s="77">
        <v>9720</v>
      </c>
      <c r="E46" s="5"/>
      <c r="F46" s="6">
        <f t="shared" si="0"/>
        <v>-13737.549999999968</v>
      </c>
      <c r="G46" s="9" t="s">
        <v>34</v>
      </c>
      <c r="H46" s="7" t="s">
        <v>302</v>
      </c>
      <c r="I46" s="4">
        <v>146</v>
      </c>
      <c r="J46" s="19">
        <v>1</v>
      </c>
      <c r="K46" s="16">
        <v>44078</v>
      </c>
    </row>
    <row r="47" spans="1:11">
      <c r="A47" s="15">
        <v>44092</v>
      </c>
      <c r="B47" s="4">
        <v>417548</v>
      </c>
      <c r="C47" s="4" t="s">
        <v>53</v>
      </c>
      <c r="D47" s="77">
        <v>702</v>
      </c>
      <c r="E47" s="5"/>
      <c r="F47" s="6">
        <f t="shared" si="0"/>
        <v>-14439.549999999968</v>
      </c>
      <c r="G47" s="9" t="s">
        <v>273</v>
      </c>
      <c r="H47" s="7" t="s">
        <v>257</v>
      </c>
      <c r="I47" s="4">
        <v>133</v>
      </c>
      <c r="J47" s="19">
        <v>1</v>
      </c>
      <c r="K47" s="16">
        <v>44088</v>
      </c>
    </row>
    <row r="48" spans="1:11">
      <c r="A48" s="15">
        <v>44092</v>
      </c>
      <c r="B48" s="4">
        <v>417412</v>
      </c>
      <c r="C48" s="4" t="s">
        <v>53</v>
      </c>
      <c r="D48" s="77">
        <v>2176.1999999999998</v>
      </c>
      <c r="E48" s="5"/>
      <c r="F48" s="6">
        <f t="shared" si="0"/>
        <v>-16615.749999999967</v>
      </c>
      <c r="G48" s="9" t="s">
        <v>43</v>
      </c>
      <c r="H48" s="7" t="s">
        <v>134</v>
      </c>
      <c r="I48" s="4">
        <v>134</v>
      </c>
      <c r="J48" s="19">
        <v>1</v>
      </c>
      <c r="K48" s="16">
        <v>44088</v>
      </c>
    </row>
    <row r="49" spans="1:11">
      <c r="A49" s="15">
        <v>44092</v>
      </c>
      <c r="B49" s="4">
        <v>727220</v>
      </c>
      <c r="C49" s="4" t="s">
        <v>60</v>
      </c>
      <c r="D49" s="77"/>
      <c r="E49" s="77">
        <v>16615.75</v>
      </c>
      <c r="F49" s="6">
        <f t="shared" si="0"/>
        <v>3.2741809263825417E-11</v>
      </c>
      <c r="G49" s="9" t="s">
        <v>145</v>
      </c>
      <c r="H49" s="7"/>
      <c r="I49" s="4"/>
      <c r="J49" s="19"/>
      <c r="K49" s="16"/>
    </row>
    <row r="50" spans="1:11">
      <c r="A50" s="15">
        <v>44095</v>
      </c>
      <c r="B50" s="4">
        <v>727220</v>
      </c>
      <c r="C50" s="4" t="s">
        <v>60</v>
      </c>
      <c r="D50" s="77"/>
      <c r="E50" s="77">
        <v>2501.71</v>
      </c>
      <c r="F50" s="6">
        <f t="shared" si="0"/>
        <v>2501.7100000000328</v>
      </c>
      <c r="G50" s="9" t="s">
        <v>145</v>
      </c>
      <c r="H50" s="7"/>
      <c r="I50" s="4"/>
      <c r="J50" s="19"/>
      <c r="K50" s="16"/>
    </row>
    <row r="51" spans="1:11">
      <c r="A51" s="15">
        <v>44095</v>
      </c>
      <c r="B51" s="4">
        <v>309379</v>
      </c>
      <c r="C51" s="4" t="s">
        <v>172</v>
      </c>
      <c r="D51" s="77">
        <v>2060.11</v>
      </c>
      <c r="E51" s="5"/>
      <c r="F51" s="6">
        <f t="shared" si="0"/>
        <v>441.60000000003265</v>
      </c>
      <c r="G51" s="9" t="s">
        <v>179</v>
      </c>
      <c r="H51" s="7"/>
      <c r="I51" s="4"/>
      <c r="J51" s="19"/>
      <c r="K51" s="16"/>
    </row>
    <row r="52" spans="1:11">
      <c r="A52" s="15">
        <v>44095</v>
      </c>
      <c r="B52" s="4">
        <v>771123</v>
      </c>
      <c r="C52" s="4" t="s">
        <v>52</v>
      </c>
      <c r="D52" s="77">
        <v>441.6</v>
      </c>
      <c r="E52" s="5"/>
      <c r="F52" s="6">
        <f t="shared" si="0"/>
        <v>3.2628122426103801E-11</v>
      </c>
      <c r="G52" s="9" t="s">
        <v>150</v>
      </c>
      <c r="H52" s="7" t="s">
        <v>161</v>
      </c>
      <c r="I52" s="4">
        <v>1590732</v>
      </c>
      <c r="J52" s="19">
        <v>1</v>
      </c>
      <c r="K52" s="16">
        <v>44078</v>
      </c>
    </row>
    <row r="53" spans="1:11">
      <c r="A53" s="15">
        <v>44097</v>
      </c>
      <c r="B53" s="4">
        <v>23</v>
      </c>
      <c r="C53" s="4" t="s">
        <v>51</v>
      </c>
      <c r="D53" s="77"/>
      <c r="E53" s="77">
        <v>0.70000000000000007</v>
      </c>
      <c r="F53" s="6">
        <f t="shared" si="0"/>
        <v>0.70000000003262819</v>
      </c>
      <c r="G53" s="9" t="s">
        <v>76</v>
      </c>
      <c r="H53" s="7"/>
      <c r="I53" s="4"/>
      <c r="J53" s="19"/>
      <c r="K53" s="16"/>
    </row>
    <row r="54" spans="1:11">
      <c r="A54" s="15">
        <v>44098</v>
      </c>
      <c r="B54" s="4">
        <v>241450</v>
      </c>
      <c r="C54" s="4" t="s">
        <v>47</v>
      </c>
      <c r="D54" s="77">
        <v>20131.93</v>
      </c>
      <c r="E54" s="5"/>
      <c r="F54" s="6">
        <f t="shared" si="0"/>
        <v>-20131.229999999967</v>
      </c>
      <c r="G54" s="9" t="s">
        <v>176</v>
      </c>
      <c r="H54" s="7"/>
      <c r="I54" s="4"/>
      <c r="J54" s="19"/>
      <c r="K54" s="16"/>
    </row>
    <row r="55" spans="1:11">
      <c r="A55" s="15">
        <v>44098</v>
      </c>
      <c r="B55" s="4">
        <v>727220</v>
      </c>
      <c r="C55" s="4" t="s">
        <v>60</v>
      </c>
      <c r="D55" s="77"/>
      <c r="E55" s="77">
        <v>20131.23</v>
      </c>
      <c r="F55" s="6">
        <f t="shared" si="0"/>
        <v>3.2741809263825417E-11</v>
      </c>
      <c r="G55" s="9" t="s">
        <v>145</v>
      </c>
      <c r="H55" s="7"/>
      <c r="I55" s="4"/>
      <c r="J55" s="19"/>
      <c r="K55" s="16"/>
    </row>
    <row r="56" spans="1:11">
      <c r="A56" s="15"/>
      <c r="B56" s="4"/>
      <c r="C56" s="4"/>
      <c r="D56" s="77"/>
      <c r="E56" s="5"/>
      <c r="F56" s="6"/>
      <c r="G56" s="9"/>
      <c r="H56" s="7"/>
      <c r="I56" s="4"/>
      <c r="J56" s="19"/>
      <c r="K56" s="16"/>
    </row>
    <row r="57" spans="1:11" ht="15.75" thickBot="1">
      <c r="A57" s="324" t="s">
        <v>12</v>
      </c>
      <c r="B57" s="325"/>
      <c r="C57" s="21"/>
      <c r="D57" s="78">
        <f>SUM(D10:D56)</f>
        <v>488240.45999999985</v>
      </c>
      <c r="E57" s="40">
        <f>SUM(E10:E56)</f>
        <v>488240.46</v>
      </c>
      <c r="F57" s="22">
        <f>F9-D57+E57</f>
        <v>0</v>
      </c>
      <c r="G57" s="10"/>
      <c r="H57" s="18"/>
      <c r="I57" s="17"/>
      <c r="J57" s="20"/>
      <c r="K57" s="25"/>
    </row>
    <row r="58" spans="1:11">
      <c r="A58" s="38" t="s">
        <v>23</v>
      </c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2" spans="1:11" ht="46.5" customHeight="1">
      <c r="A62" s="299" t="s">
        <v>123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</row>
    <row r="63" spans="1:11" ht="18" customHeight="1"/>
    <row r="64" spans="1:11" ht="18" customHeight="1">
      <c r="A64" s="318" t="s">
        <v>415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</row>
    <row r="65" spans="1:13">
      <c r="A65" s="3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19" t="s">
        <v>21</v>
      </c>
      <c r="B66" s="320"/>
      <c r="C66" s="320"/>
      <c r="D66" s="320"/>
      <c r="E66" s="321"/>
      <c r="F66" s="3"/>
      <c r="G66" s="322" t="s">
        <v>20</v>
      </c>
      <c r="H66" s="322"/>
      <c r="I66" s="322"/>
      <c r="J66" s="322"/>
      <c r="K66" s="24"/>
    </row>
    <row r="67" spans="1:13">
      <c r="A67" s="28" t="s">
        <v>233</v>
      </c>
      <c r="B67" s="44"/>
      <c r="C67" s="44"/>
      <c r="D67" s="79"/>
      <c r="E67" s="33">
        <f t="shared" ref="E67:E103" si="1">SUMIF($G$8:$G$56,A67,$D$8:$D$56)</f>
        <v>0</v>
      </c>
      <c r="F67" s="3"/>
      <c r="G67" s="62" t="s">
        <v>147</v>
      </c>
      <c r="H67" s="26"/>
      <c r="I67" s="306">
        <f>SUMIF($G$8:$G$56,G67,$E$8:$E$56)</f>
        <v>293392.95</v>
      </c>
      <c r="J67" s="307"/>
      <c r="K67" s="24"/>
    </row>
    <row r="68" spans="1:13">
      <c r="A68" s="27" t="s">
        <v>149</v>
      </c>
      <c r="B68" s="63"/>
      <c r="C68" s="63"/>
      <c r="D68" s="80"/>
      <c r="E68" s="29">
        <f t="shared" si="1"/>
        <v>197839.96</v>
      </c>
      <c r="F68" s="3"/>
      <c r="G68" s="316" t="s">
        <v>145</v>
      </c>
      <c r="H68" s="317"/>
      <c r="I68" s="306">
        <f>SUMIF($G$8:$G$56,G68,$E$8:$E$56)</f>
        <v>161370.97</v>
      </c>
      <c r="J68" s="307"/>
      <c r="K68" s="24"/>
    </row>
    <row r="69" spans="1:13">
      <c r="A69" s="62" t="s">
        <v>368</v>
      </c>
      <c r="B69" s="63"/>
      <c r="C69" s="63"/>
      <c r="D69" s="80"/>
      <c r="E69" s="29">
        <f t="shared" si="1"/>
        <v>0</v>
      </c>
      <c r="F69" s="3"/>
      <c r="G69" s="281" t="s">
        <v>234</v>
      </c>
      <c r="H69" s="282"/>
      <c r="I69" s="306">
        <f>SUMIF($G$8:$G$56,G69,$E$8:$E$56)</f>
        <v>0</v>
      </c>
      <c r="J69" s="307"/>
      <c r="K69" s="24"/>
      <c r="M69" s="274" t="s">
        <v>344</v>
      </c>
    </row>
    <row r="70" spans="1:13">
      <c r="A70" s="27" t="s">
        <v>177</v>
      </c>
      <c r="B70" s="63"/>
      <c r="C70" s="63"/>
      <c r="D70" s="80"/>
      <c r="E70" s="29">
        <f t="shared" si="1"/>
        <v>0</v>
      </c>
      <c r="F70" s="3"/>
      <c r="G70" s="62" t="s">
        <v>368</v>
      </c>
      <c r="H70" s="26"/>
      <c r="I70" s="306">
        <f>SUMIF($G$8:$G$56,G70,$E$8:$E$56)</f>
        <v>33475.839999999997</v>
      </c>
      <c r="J70" s="307"/>
      <c r="K70" s="24"/>
      <c r="M70" s="46"/>
    </row>
    <row r="71" spans="1:13">
      <c r="A71" s="27" t="s">
        <v>255</v>
      </c>
      <c r="B71" s="63"/>
      <c r="C71" s="63"/>
      <c r="D71" s="80"/>
      <c r="E71" s="29">
        <f t="shared" si="1"/>
        <v>0</v>
      </c>
      <c r="F71" s="3"/>
      <c r="G71" s="62" t="s">
        <v>76</v>
      </c>
      <c r="H71" s="26"/>
      <c r="I71" s="306">
        <f>SUMIF($G$8:$G$56,G71,$E$8:$E$56)</f>
        <v>0.70000000000000007</v>
      </c>
      <c r="J71" s="307"/>
      <c r="K71" s="24"/>
    </row>
    <row r="72" spans="1:13">
      <c r="A72" s="27" t="s">
        <v>175</v>
      </c>
      <c r="B72" s="63"/>
      <c r="C72" s="63"/>
      <c r="D72" s="80"/>
      <c r="E72" s="29">
        <f t="shared" si="1"/>
        <v>11726.960000000001</v>
      </c>
      <c r="F72" s="3"/>
      <c r="G72" s="47" t="s">
        <v>22</v>
      </c>
      <c r="H72" s="48"/>
      <c r="I72" s="302">
        <f>SUM(I67:J71)</f>
        <v>488240.46</v>
      </c>
      <c r="J72" s="303"/>
      <c r="K72" s="61">
        <f>E57-I72</f>
        <v>0</v>
      </c>
    </row>
    <row r="73" spans="1:13">
      <c r="A73" s="27" t="s">
        <v>271</v>
      </c>
      <c r="B73" s="63"/>
      <c r="C73" s="63"/>
      <c r="D73" s="80"/>
      <c r="E73" s="29">
        <f t="shared" si="1"/>
        <v>0</v>
      </c>
      <c r="F73" s="3"/>
      <c r="G73" s="70"/>
      <c r="H73" s="45"/>
      <c r="I73" s="69"/>
      <c r="J73" s="71"/>
      <c r="K73" s="24"/>
    </row>
    <row r="74" spans="1:13">
      <c r="A74" s="27" t="s">
        <v>25</v>
      </c>
      <c r="B74" s="63"/>
      <c r="C74" s="63"/>
      <c r="D74" s="80"/>
      <c r="E74" s="29">
        <f t="shared" si="1"/>
        <v>0</v>
      </c>
      <c r="F74" s="3"/>
      <c r="G74" s="36" t="s">
        <v>64</v>
      </c>
      <c r="H74" s="37"/>
      <c r="I74" s="66"/>
      <c r="J74" s="67"/>
    </row>
    <row r="75" spans="1:13">
      <c r="A75" s="27" t="s">
        <v>270</v>
      </c>
      <c r="B75" s="63"/>
      <c r="C75" s="63"/>
      <c r="D75" s="80"/>
      <c r="E75" s="29">
        <f t="shared" si="1"/>
        <v>95030.73</v>
      </c>
      <c r="F75" s="3"/>
      <c r="G75" s="281" t="s">
        <v>19</v>
      </c>
      <c r="H75" s="282"/>
      <c r="I75" s="304">
        <f>'CEF Agosto 2020'!I77:J77</f>
        <v>476987.7899999998</v>
      </c>
      <c r="J75" s="305"/>
    </row>
    <row r="76" spans="1:13">
      <c r="A76" s="27" t="s">
        <v>29</v>
      </c>
      <c r="B76" s="63"/>
      <c r="C76" s="63"/>
      <c r="D76" s="80"/>
      <c r="E76" s="29">
        <f t="shared" si="1"/>
        <v>10195.51</v>
      </c>
      <c r="F76" s="3"/>
      <c r="G76" s="27" t="s">
        <v>149</v>
      </c>
      <c r="H76" s="282"/>
      <c r="I76" s="306">
        <f>SUMIF($G$8:$G$56,G76,$D$8:$D$56)</f>
        <v>197839.96</v>
      </c>
      <c r="J76" s="307"/>
    </row>
    <row r="77" spans="1:13">
      <c r="A77" s="27" t="s">
        <v>282</v>
      </c>
      <c r="B77" s="63"/>
      <c r="C77" s="63"/>
      <c r="D77" s="80"/>
      <c r="E77" s="29">
        <f t="shared" si="1"/>
        <v>3505.34</v>
      </c>
      <c r="F77" s="3"/>
      <c r="G77" s="316" t="s">
        <v>145</v>
      </c>
      <c r="H77" s="317"/>
      <c r="I77" s="306">
        <f>-SUMIF($G$8:$G$56,G77,$E$8:$E$56)</f>
        <v>-161370.97</v>
      </c>
      <c r="J77" s="307"/>
    </row>
    <row r="78" spans="1:13">
      <c r="A78" s="27" t="s">
        <v>273</v>
      </c>
      <c r="B78" s="63"/>
      <c r="C78" s="63"/>
      <c r="D78" s="80"/>
      <c r="E78" s="29">
        <f t="shared" si="1"/>
        <v>702</v>
      </c>
      <c r="F78" s="3"/>
      <c r="G78" s="281" t="s">
        <v>30</v>
      </c>
      <c r="H78" s="282"/>
      <c r="I78" s="306">
        <v>-396.71</v>
      </c>
      <c r="J78" s="307"/>
    </row>
    <row r="79" spans="1:13">
      <c r="A79" s="27" t="s">
        <v>218</v>
      </c>
      <c r="B79" s="63"/>
      <c r="C79" s="63"/>
      <c r="D79" s="80"/>
      <c r="E79" s="29">
        <f t="shared" si="1"/>
        <v>1667.22</v>
      </c>
      <c r="F79" s="3"/>
      <c r="G79" s="30" t="s">
        <v>421</v>
      </c>
      <c r="H79" s="31"/>
      <c r="I79" s="306">
        <f>-110655.15-204743.81-197661.11</f>
        <v>-513060.06999999995</v>
      </c>
      <c r="J79" s="307"/>
    </row>
    <row r="80" spans="1:13">
      <c r="A80" s="27" t="s">
        <v>379</v>
      </c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10">
        <f>SUM(I75:J79)</f>
        <v>0</v>
      </c>
      <c r="J80" s="311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49"/>
      <c r="H81" s="41"/>
      <c r="I81" s="41"/>
      <c r="J81" s="283"/>
      <c r="K81" s="24"/>
    </row>
    <row r="82" spans="1:13">
      <c r="A82" s="27" t="s">
        <v>28</v>
      </c>
      <c r="B82" s="63"/>
      <c r="C82" s="63"/>
      <c r="D82" s="80"/>
      <c r="E82" s="29">
        <f t="shared" si="1"/>
        <v>8.9</v>
      </c>
      <c r="F82" s="3"/>
      <c r="G82" s="53" t="s">
        <v>62</v>
      </c>
      <c r="H82" s="54"/>
      <c r="I82" s="312"/>
      <c r="J82" s="313"/>
      <c r="K82" s="24"/>
    </row>
    <row r="83" spans="1:13">
      <c r="A83" s="27" t="s">
        <v>150</v>
      </c>
      <c r="B83" s="63"/>
      <c r="C83" s="63"/>
      <c r="D83" s="80"/>
      <c r="E83" s="29">
        <f t="shared" si="1"/>
        <v>441.6</v>
      </c>
      <c r="F83" s="3"/>
      <c r="G83" s="57" t="s">
        <v>19</v>
      </c>
      <c r="H83" s="58"/>
      <c r="I83" s="304">
        <f>'CEF Março 2019'!I88:J88</f>
        <v>0</v>
      </c>
      <c r="J83" s="305"/>
      <c r="K83" s="24"/>
    </row>
    <row r="84" spans="1:13">
      <c r="A84" s="27" t="s">
        <v>220</v>
      </c>
      <c r="B84" s="63"/>
      <c r="C84" s="63"/>
      <c r="D84" s="80"/>
      <c r="E84" s="29">
        <f t="shared" si="1"/>
        <v>33476.539999999994</v>
      </c>
      <c r="F84" s="3"/>
      <c r="G84" s="27" t="s">
        <v>48</v>
      </c>
      <c r="H84" s="282"/>
      <c r="I84" s="306">
        <f>SUMIF($G$8:$G$56,G84,$E$8:$E$56)</f>
        <v>0</v>
      </c>
      <c r="J84" s="307"/>
      <c r="K84" s="24"/>
    </row>
    <row r="85" spans="1:13">
      <c r="A85" s="27" t="s">
        <v>176</v>
      </c>
      <c r="B85" s="63"/>
      <c r="C85" s="63"/>
      <c r="D85" s="80"/>
      <c r="E85" s="29">
        <f t="shared" si="1"/>
        <v>20131.93</v>
      </c>
      <c r="F85" s="3"/>
      <c r="G85" s="281" t="s">
        <v>14</v>
      </c>
      <c r="H85" s="282"/>
      <c r="I85" s="306">
        <f>-SUMIF($G$8:$G$56,G85,$D$8:$D$56)</f>
        <v>0</v>
      </c>
      <c r="J85" s="307"/>
      <c r="K85" s="24"/>
    </row>
    <row r="86" spans="1:13">
      <c r="A86" s="27" t="s">
        <v>272</v>
      </c>
      <c r="B86" s="63"/>
      <c r="C86" s="63"/>
      <c r="D86" s="80"/>
      <c r="E86" s="29">
        <f t="shared" si="1"/>
        <v>513.36</v>
      </c>
      <c r="F86" s="3"/>
      <c r="G86" s="30"/>
      <c r="H86" s="31"/>
      <c r="I86" s="314"/>
      <c r="J86" s="315"/>
      <c r="K86" s="24"/>
    </row>
    <row r="87" spans="1:13">
      <c r="A87" s="27" t="s">
        <v>43</v>
      </c>
      <c r="B87" s="63"/>
      <c r="C87" s="63"/>
      <c r="D87" s="80"/>
      <c r="E87" s="29">
        <f t="shared" si="1"/>
        <v>2176.1999999999998</v>
      </c>
      <c r="F87" s="3"/>
      <c r="G87" s="32" t="s">
        <v>17</v>
      </c>
      <c r="H87" s="31"/>
      <c r="I87" s="302">
        <f>SUM(I83:J86)</f>
        <v>0</v>
      </c>
      <c r="J87" s="303"/>
      <c r="K87" s="24"/>
    </row>
    <row r="88" spans="1:13">
      <c r="A88" s="27" t="s">
        <v>179</v>
      </c>
      <c r="B88" s="63"/>
      <c r="C88" s="63"/>
      <c r="D88" s="80"/>
      <c r="E88" s="29">
        <f t="shared" si="1"/>
        <v>2060.11</v>
      </c>
      <c r="F88" s="3"/>
      <c r="G88" s="49"/>
      <c r="H88" s="41"/>
      <c r="I88" s="41"/>
      <c r="J88" s="283"/>
      <c r="K88" s="24"/>
    </row>
    <row r="89" spans="1:13">
      <c r="A89" s="27" t="s">
        <v>34</v>
      </c>
      <c r="B89" s="63"/>
      <c r="C89" s="63"/>
      <c r="D89" s="80"/>
      <c r="E89" s="29">
        <f t="shared" si="1"/>
        <v>108628.6</v>
      </c>
      <c r="F89" s="3"/>
      <c r="G89" s="36" t="s">
        <v>16</v>
      </c>
      <c r="H89" s="37"/>
      <c r="I89" s="66"/>
      <c r="J89" s="67"/>
      <c r="K89" s="24"/>
    </row>
    <row r="90" spans="1:13">
      <c r="A90" s="27" t="s">
        <v>72</v>
      </c>
      <c r="B90" s="63"/>
      <c r="C90" s="63"/>
      <c r="D90" s="80"/>
      <c r="E90" s="29">
        <f t="shared" si="1"/>
        <v>135.5</v>
      </c>
      <c r="F90" s="3"/>
      <c r="G90" s="281" t="s">
        <v>19</v>
      </c>
      <c r="H90" s="282"/>
      <c r="I90" s="308">
        <f>'CEF Agosto 2020'!I91:J91</f>
        <v>62677.369999999064</v>
      </c>
      <c r="J90" s="309"/>
      <c r="K90" s="24"/>
    </row>
    <row r="91" spans="1:13">
      <c r="A91" s="27" t="s">
        <v>307</v>
      </c>
      <c r="B91" s="63"/>
      <c r="C91" s="63"/>
      <c r="D91" s="80"/>
      <c r="E91" s="29">
        <f t="shared" si="1"/>
        <v>0</v>
      </c>
      <c r="F91" s="3"/>
      <c r="G91" s="281" t="s">
        <v>409</v>
      </c>
      <c r="H91" s="282"/>
      <c r="I91" s="291">
        <f>249997.75+16000+16408.72+10986.48</f>
        <v>293392.94999999995</v>
      </c>
      <c r="J91" s="292"/>
      <c r="K91" s="24"/>
    </row>
    <row r="92" spans="1:13">
      <c r="A92" s="27" t="s">
        <v>120</v>
      </c>
      <c r="B92" s="63"/>
      <c r="C92" s="63"/>
      <c r="D92" s="80"/>
      <c r="E92" s="29">
        <f t="shared" si="1"/>
        <v>0</v>
      </c>
      <c r="F92" s="3"/>
      <c r="G92" s="281" t="s">
        <v>147</v>
      </c>
      <c r="H92" s="282"/>
      <c r="I92" s="306">
        <f>-SUMIF($G$8:$G$56,G92,$E$8:$E$56)</f>
        <v>-293392.95</v>
      </c>
      <c r="J92" s="307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300"/>
      <c r="J93" s="301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310">
        <f>SUM(I90:J93)</f>
        <v>62677.369999999006</v>
      </c>
      <c r="J94" s="311"/>
      <c r="K94" s="24"/>
      <c r="M94" s="39"/>
    </row>
    <row r="95" spans="1:13">
      <c r="A95" s="27"/>
      <c r="B95" s="41"/>
      <c r="C95" s="41"/>
      <c r="D95" s="80"/>
      <c r="E95" s="29">
        <f t="shared" si="1"/>
        <v>0</v>
      </c>
      <c r="F95" s="3"/>
      <c r="G95" s="27"/>
      <c r="H95" s="26"/>
      <c r="I95" s="26"/>
      <c r="J95" s="4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4"/>
      <c r="J96" s="55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304">
        <f>'CEF Agosto 2020'!I98:J98</f>
        <v>20131.930000000008</v>
      </c>
      <c r="J97" s="305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 t="s">
        <v>416</v>
      </c>
      <c r="H98" s="41"/>
      <c r="I98" s="306"/>
      <c r="J98" s="307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/>
      <c r="H99" s="56"/>
      <c r="I99" s="306"/>
      <c r="J99" s="307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9" t="s">
        <v>176</v>
      </c>
      <c r="H100" s="60"/>
      <c r="I100" s="300">
        <f>-SUMIF($G$8:$G$56,G100,$D$8:$D$56)</f>
        <v>-20131.93</v>
      </c>
      <c r="J100" s="301"/>
      <c r="K100" s="24"/>
    </row>
    <row r="101" spans="1:11">
      <c r="A101" s="62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302">
        <f>SUM(I97:J100)</f>
        <v>0</v>
      </c>
      <c r="J101" s="303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41"/>
      <c r="J102" s="28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1"/>
      <c r="J103" s="52"/>
      <c r="K103" s="24"/>
    </row>
    <row r="104" spans="1:11">
      <c r="A104" s="30"/>
      <c r="B104" s="85"/>
      <c r="C104" s="85"/>
      <c r="D104" s="86"/>
      <c r="E104" s="87"/>
      <c r="F104" s="3"/>
      <c r="G104" s="27" t="s">
        <v>413</v>
      </c>
      <c r="H104" s="282"/>
      <c r="I104" s="291"/>
      <c r="J104" s="292"/>
      <c r="K104" s="24"/>
    </row>
    <row r="105" spans="1:11">
      <c r="A105" s="297" t="s">
        <v>22</v>
      </c>
      <c r="B105" s="298"/>
      <c r="C105" s="298"/>
      <c r="D105" s="81"/>
      <c r="E105" s="35">
        <f>SUM(E67:E103)</f>
        <v>488240.45999999996</v>
      </c>
      <c r="F105" s="3"/>
      <c r="G105" s="27"/>
      <c r="H105" s="282"/>
      <c r="I105" s="291"/>
      <c r="J105" s="292"/>
      <c r="K105" s="24"/>
    </row>
    <row r="106" spans="1:11">
      <c r="E106" s="46">
        <f>D57-E105</f>
        <v>0</v>
      </c>
      <c r="F106" s="3"/>
      <c r="G106" s="27"/>
      <c r="H106" s="41"/>
      <c r="I106" s="295"/>
      <c r="J106" s="296"/>
      <c r="K106" s="24"/>
    </row>
    <row r="107" spans="1:11">
      <c r="F107" s="3"/>
      <c r="G107" s="89" t="s">
        <v>18</v>
      </c>
      <c r="H107" s="88"/>
      <c r="I107" s="302">
        <f>SUM(I104:J106)</f>
        <v>0</v>
      </c>
      <c r="J107" s="303"/>
      <c r="K107" s="24"/>
    </row>
    <row r="108" spans="1:11">
      <c r="A108" s="27"/>
      <c r="B108" s="63"/>
      <c r="C108" s="63"/>
      <c r="D108" s="80"/>
      <c r="K108" s="24"/>
    </row>
    <row r="109" spans="1:11">
      <c r="A109" s="27"/>
      <c r="B109" s="63"/>
      <c r="C109" s="63"/>
      <c r="D109" s="80"/>
      <c r="G109" s="45"/>
      <c r="H109" s="45"/>
      <c r="I109" s="69"/>
      <c r="J109" s="69"/>
      <c r="K109" s="24"/>
    </row>
    <row r="110" spans="1:11">
      <c r="D110" s="274"/>
      <c r="F110" s="3"/>
      <c r="G110" s="45"/>
      <c r="H110" s="45"/>
      <c r="I110" s="69"/>
      <c r="J110" s="69"/>
      <c r="K110" s="24"/>
    </row>
    <row r="112" spans="1:11">
      <c r="E112" s="46"/>
    </row>
    <row r="113" spans="5:5">
      <c r="E113" s="46"/>
    </row>
    <row r="116" spans="5:5">
      <c r="E116" s="46"/>
    </row>
  </sheetData>
  <mergeCells count="44">
    <mergeCell ref="I106:J106"/>
    <mergeCell ref="I107:J107"/>
    <mergeCell ref="I99:J99"/>
    <mergeCell ref="I100:J100"/>
    <mergeCell ref="I101:J101"/>
    <mergeCell ref="I104:J104"/>
    <mergeCell ref="A105:C105"/>
    <mergeCell ref="I105:J105"/>
    <mergeCell ref="I91:J91"/>
    <mergeCell ref="I92:J92"/>
    <mergeCell ref="I93:J93"/>
    <mergeCell ref="I94:J94"/>
    <mergeCell ref="I97:J97"/>
    <mergeCell ref="I98:J98"/>
    <mergeCell ref="I90:J90"/>
    <mergeCell ref="G77:H77"/>
    <mergeCell ref="I77:J77"/>
    <mergeCell ref="I78:J78"/>
    <mergeCell ref="I79:J79"/>
    <mergeCell ref="I80:J80"/>
    <mergeCell ref="I82:J82"/>
    <mergeCell ref="I83:J83"/>
    <mergeCell ref="I84:J84"/>
    <mergeCell ref="I85:J85"/>
    <mergeCell ref="I86:J86"/>
    <mergeCell ref="I87:J87"/>
    <mergeCell ref="I76:J76"/>
    <mergeCell ref="A64:K64"/>
    <mergeCell ref="A66:E66"/>
    <mergeCell ref="G66:J66"/>
    <mergeCell ref="I67:J67"/>
    <mergeCell ref="G68:H68"/>
    <mergeCell ref="I68:J68"/>
    <mergeCell ref="I69:J69"/>
    <mergeCell ref="I70:J70"/>
    <mergeCell ref="I71:J71"/>
    <mergeCell ref="I72:J72"/>
    <mergeCell ref="I75:J75"/>
    <mergeCell ref="A62:K62"/>
    <mergeCell ref="A2:K2"/>
    <mergeCell ref="A4:K4"/>
    <mergeCell ref="A6:F6"/>
    <mergeCell ref="G6:K6"/>
    <mergeCell ref="A57:B5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opLeftCell="A28" workbookViewId="0">
      <selection activeCell="I65" sqref="I65:J65"/>
    </sheetView>
  </sheetViews>
  <sheetFormatPr defaultRowHeight="15"/>
  <cols>
    <col min="1" max="1" width="10.42578125" style="284" bestFit="1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417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44103</v>
      </c>
      <c r="B10" s="4">
        <v>291527</v>
      </c>
      <c r="C10" s="4" t="s">
        <v>47</v>
      </c>
      <c r="D10" s="77">
        <v>9056.9500000000007</v>
      </c>
      <c r="E10" s="5"/>
      <c r="F10" s="6">
        <f t="shared" ref="F10:F12" si="0">F9-D10+E10</f>
        <v>-9056.9500000000007</v>
      </c>
      <c r="G10" s="9" t="s">
        <v>151</v>
      </c>
      <c r="H10" s="7"/>
      <c r="I10" s="4"/>
      <c r="J10" s="19"/>
      <c r="K10" s="16"/>
    </row>
    <row r="11" spans="1:11">
      <c r="A11" s="15">
        <v>44103</v>
      </c>
      <c r="B11" s="4">
        <v>727220</v>
      </c>
      <c r="C11" s="4" t="s">
        <v>60</v>
      </c>
      <c r="D11" s="77"/>
      <c r="E11" s="77">
        <v>8957.9500000000007</v>
      </c>
      <c r="F11" s="6">
        <f t="shared" si="0"/>
        <v>-99</v>
      </c>
      <c r="G11" s="9" t="s">
        <v>419</v>
      </c>
      <c r="H11" s="7"/>
      <c r="I11" s="4"/>
      <c r="J11" s="19"/>
      <c r="K11" s="16"/>
    </row>
    <row r="12" spans="1:11">
      <c r="A12" s="15">
        <v>44103</v>
      </c>
      <c r="B12" s="4">
        <v>291531</v>
      </c>
      <c r="C12" s="4" t="s">
        <v>44</v>
      </c>
      <c r="D12" s="77"/>
      <c r="E12" s="77">
        <v>99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 ht="15.75" thickBot="1">
      <c r="A15" s="324" t="s">
        <v>12</v>
      </c>
      <c r="B15" s="325"/>
      <c r="C15" s="21"/>
      <c r="D15" s="78">
        <f>SUM(D10:D14)</f>
        <v>9056.9500000000007</v>
      </c>
      <c r="E15" s="40">
        <f>SUM(E10:E14)</f>
        <v>9056.9500000000007</v>
      </c>
      <c r="F15" s="22">
        <f>F9-D15+E15</f>
        <v>0</v>
      </c>
      <c r="G15" s="10"/>
      <c r="H15" s="18"/>
      <c r="I15" s="17"/>
      <c r="J15" s="20"/>
      <c r="K15" s="25"/>
    </row>
    <row r="16" spans="1:11">
      <c r="A16" s="38" t="s">
        <v>23</v>
      </c>
      <c r="B16" s="3"/>
      <c r="C16" s="3"/>
      <c r="D16" s="75"/>
      <c r="E16" s="3"/>
      <c r="F16" s="3"/>
      <c r="G16" s="3"/>
      <c r="H16" s="3"/>
      <c r="I16" s="3"/>
      <c r="J16" s="2"/>
      <c r="K16" s="24"/>
    </row>
    <row r="17" spans="1:13">
      <c r="A17" s="38"/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20" spans="1:13" ht="46.5" customHeight="1">
      <c r="A20" s="299" t="s">
        <v>123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3" ht="18" customHeight="1"/>
    <row r="22" spans="1:13" ht="18" customHeight="1">
      <c r="A22" s="318" t="s">
        <v>418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</row>
    <row r="23" spans="1:13">
      <c r="A23" s="3"/>
      <c r="B23" s="3"/>
      <c r="C23" s="3"/>
      <c r="D23" s="75"/>
      <c r="E23" s="3"/>
      <c r="F23" s="3"/>
      <c r="G23" s="3"/>
      <c r="H23" s="3"/>
      <c r="I23" s="3"/>
      <c r="J23" s="2"/>
      <c r="K23" s="24"/>
    </row>
    <row r="24" spans="1:13">
      <c r="A24" s="319" t="s">
        <v>21</v>
      </c>
      <c r="B24" s="320"/>
      <c r="C24" s="320"/>
      <c r="D24" s="320"/>
      <c r="E24" s="321"/>
      <c r="F24" s="3"/>
      <c r="G24" s="322" t="s">
        <v>20</v>
      </c>
      <c r="H24" s="322"/>
      <c r="I24" s="322"/>
      <c r="J24" s="322"/>
      <c r="K24" s="24"/>
    </row>
    <row r="25" spans="1:13">
      <c r="A25" s="28" t="s">
        <v>233</v>
      </c>
      <c r="B25" s="44"/>
      <c r="C25" s="44"/>
      <c r="D25" s="79"/>
      <c r="E25" s="33">
        <f t="shared" ref="E25:E61" si="1">SUMIF($G$8:$G$14,A25,$D$8:$D$14)</f>
        <v>0</v>
      </c>
      <c r="F25" s="3"/>
      <c r="G25" s="62" t="s">
        <v>147</v>
      </c>
      <c r="H25" s="26"/>
      <c r="I25" s="306">
        <f>SUMIF($G$8:$G$14,G25,$E$8:$E$14)</f>
        <v>0</v>
      </c>
      <c r="J25" s="307"/>
      <c r="K25" s="24"/>
    </row>
    <row r="26" spans="1:13">
      <c r="A26" s="27" t="s">
        <v>149</v>
      </c>
      <c r="B26" s="63"/>
      <c r="C26" s="63"/>
      <c r="D26" s="80"/>
      <c r="E26" s="29">
        <f t="shared" si="1"/>
        <v>0</v>
      </c>
      <c r="F26" s="3"/>
      <c r="G26" s="316" t="s">
        <v>419</v>
      </c>
      <c r="H26" s="317"/>
      <c r="I26" s="306">
        <f>SUMIF($G$8:$G$14,G26,$E$8:$E$14)</f>
        <v>8957.9500000000007</v>
      </c>
      <c r="J26" s="307"/>
      <c r="K26" s="24"/>
    </row>
    <row r="27" spans="1:13">
      <c r="A27" s="62" t="s">
        <v>368</v>
      </c>
      <c r="B27" s="63"/>
      <c r="C27" s="63"/>
      <c r="D27" s="80"/>
      <c r="E27" s="29">
        <f t="shared" si="1"/>
        <v>0</v>
      </c>
      <c r="F27" s="3"/>
      <c r="G27" s="281" t="s">
        <v>234</v>
      </c>
      <c r="H27" s="282"/>
      <c r="I27" s="306">
        <f>SUMIF($G$8:$G$14,G27,$E$8:$E$14)</f>
        <v>99</v>
      </c>
      <c r="J27" s="307"/>
      <c r="K27" s="24"/>
      <c r="M27" s="284" t="s">
        <v>344</v>
      </c>
    </row>
    <row r="28" spans="1:13">
      <c r="A28" s="27" t="s">
        <v>177</v>
      </c>
      <c r="B28" s="63"/>
      <c r="C28" s="63"/>
      <c r="D28" s="80"/>
      <c r="E28" s="29">
        <f t="shared" si="1"/>
        <v>0</v>
      </c>
      <c r="F28" s="3"/>
      <c r="G28" s="62" t="s">
        <v>368</v>
      </c>
      <c r="H28" s="26"/>
      <c r="I28" s="306">
        <f>SUMIF($G$8:$G$14,G28,$E$8:$E$14)</f>
        <v>0</v>
      </c>
      <c r="J28" s="307"/>
      <c r="K28" s="24"/>
      <c r="M28" s="46"/>
    </row>
    <row r="29" spans="1:13">
      <c r="A29" s="27" t="s">
        <v>255</v>
      </c>
      <c r="B29" s="63"/>
      <c r="C29" s="63"/>
      <c r="D29" s="80"/>
      <c r="E29" s="29">
        <f t="shared" si="1"/>
        <v>0</v>
      </c>
      <c r="F29" s="3"/>
      <c r="G29" s="62" t="s">
        <v>76</v>
      </c>
      <c r="H29" s="26"/>
      <c r="I29" s="306">
        <f>SUMIF($G$8:$G$14,G29,$E$8:$E$14)</f>
        <v>0</v>
      </c>
      <c r="J29" s="307"/>
      <c r="K29" s="24"/>
    </row>
    <row r="30" spans="1:13">
      <c r="A30" s="27" t="s">
        <v>175</v>
      </c>
      <c r="B30" s="63"/>
      <c r="C30" s="63"/>
      <c r="D30" s="80"/>
      <c r="E30" s="29">
        <f t="shared" si="1"/>
        <v>0</v>
      </c>
      <c r="F30" s="3"/>
      <c r="G30" s="47" t="s">
        <v>22</v>
      </c>
      <c r="H30" s="48"/>
      <c r="I30" s="302">
        <f>SUM(I25:J29)</f>
        <v>9056.9500000000007</v>
      </c>
      <c r="J30" s="303"/>
      <c r="K30" s="61">
        <f>E15-I30</f>
        <v>0</v>
      </c>
    </row>
    <row r="31" spans="1:13">
      <c r="A31" s="27" t="s">
        <v>271</v>
      </c>
      <c r="B31" s="63"/>
      <c r="C31" s="63"/>
      <c r="D31" s="80"/>
      <c r="E31" s="29">
        <f t="shared" si="1"/>
        <v>0</v>
      </c>
      <c r="F31" s="3"/>
      <c r="G31" s="70"/>
      <c r="H31" s="45"/>
      <c r="I31" s="69"/>
      <c r="J31" s="71"/>
      <c r="K31" s="24"/>
    </row>
    <row r="32" spans="1:13">
      <c r="A32" s="27" t="s">
        <v>25</v>
      </c>
      <c r="B32" s="63"/>
      <c r="C32" s="63"/>
      <c r="D32" s="80"/>
      <c r="E32" s="29">
        <f t="shared" si="1"/>
        <v>0</v>
      </c>
      <c r="F32" s="3"/>
      <c r="G32" s="36" t="s">
        <v>64</v>
      </c>
      <c r="H32" s="37"/>
      <c r="I32" s="66"/>
      <c r="J32" s="67"/>
    </row>
    <row r="33" spans="1:11">
      <c r="A33" s="27" t="s">
        <v>270</v>
      </c>
      <c r="B33" s="63"/>
      <c r="C33" s="63"/>
      <c r="D33" s="80"/>
      <c r="E33" s="29">
        <f t="shared" si="1"/>
        <v>0</v>
      </c>
      <c r="F33" s="3"/>
      <c r="G33" s="281" t="s">
        <v>19</v>
      </c>
      <c r="H33" s="282"/>
      <c r="I33" s="304">
        <v>0</v>
      </c>
      <c r="J33" s="305"/>
    </row>
    <row r="34" spans="1:11">
      <c r="A34" s="27" t="s">
        <v>29</v>
      </c>
      <c r="B34" s="63"/>
      <c r="C34" s="63"/>
      <c r="D34" s="80"/>
      <c r="E34" s="29">
        <f t="shared" si="1"/>
        <v>0</v>
      </c>
      <c r="F34" s="3"/>
      <c r="G34" s="27" t="s">
        <v>149</v>
      </c>
      <c r="H34" s="282"/>
      <c r="I34" s="306">
        <f>SUMIF($G$8:$G$14,G34,$D$8:$D$14)</f>
        <v>0</v>
      </c>
      <c r="J34" s="307"/>
    </row>
    <row r="35" spans="1:11">
      <c r="A35" s="27" t="s">
        <v>282</v>
      </c>
      <c r="B35" s="63"/>
      <c r="C35" s="63"/>
      <c r="D35" s="80"/>
      <c r="E35" s="29">
        <f t="shared" si="1"/>
        <v>0</v>
      </c>
      <c r="F35" s="3"/>
      <c r="G35" s="316" t="s">
        <v>419</v>
      </c>
      <c r="H35" s="317"/>
      <c r="I35" s="306">
        <f>-SUMIF($G$8:$G$14,G35,$E$8:$E$14)</f>
        <v>-8957.9500000000007</v>
      </c>
      <c r="J35" s="307"/>
    </row>
    <row r="36" spans="1:11">
      <c r="A36" s="27" t="s">
        <v>273</v>
      </c>
      <c r="B36" s="63"/>
      <c r="C36" s="63"/>
      <c r="D36" s="80"/>
      <c r="E36" s="29">
        <f t="shared" si="1"/>
        <v>0</v>
      </c>
      <c r="F36" s="3"/>
      <c r="G36" s="281" t="s">
        <v>30</v>
      </c>
      <c r="H36" s="282"/>
      <c r="I36" s="306">
        <v>-330.8</v>
      </c>
      <c r="J36" s="307"/>
    </row>
    <row r="37" spans="1:11">
      <c r="A37" s="27" t="s">
        <v>218</v>
      </c>
      <c r="B37" s="63"/>
      <c r="C37" s="63"/>
      <c r="D37" s="80"/>
      <c r="E37" s="29">
        <f t="shared" si="1"/>
        <v>0</v>
      </c>
      <c r="F37" s="3"/>
      <c r="G37" s="30" t="s">
        <v>420</v>
      </c>
      <c r="H37" s="31"/>
      <c r="I37" s="306">
        <f>110655.15+204743.81+197661.11</f>
        <v>513060.06999999995</v>
      </c>
      <c r="J37" s="307"/>
    </row>
    <row r="38" spans="1:11">
      <c r="A38" s="27" t="s">
        <v>379</v>
      </c>
      <c r="B38" s="63"/>
      <c r="C38" s="63"/>
      <c r="D38" s="80"/>
      <c r="E38" s="29">
        <f t="shared" si="1"/>
        <v>0</v>
      </c>
      <c r="F38" s="3"/>
      <c r="G38" s="32" t="s">
        <v>18</v>
      </c>
      <c r="H38" s="31"/>
      <c r="I38" s="310">
        <f>SUM(I33:J37)</f>
        <v>503771.31999999995</v>
      </c>
      <c r="J38" s="311"/>
    </row>
    <row r="39" spans="1:11">
      <c r="A39" s="27" t="s">
        <v>231</v>
      </c>
      <c r="B39" s="63"/>
      <c r="C39" s="63"/>
      <c r="D39" s="80"/>
      <c r="E39" s="29">
        <f t="shared" si="1"/>
        <v>0</v>
      </c>
      <c r="F39" s="3"/>
      <c r="G39" s="49"/>
      <c r="H39" s="41"/>
      <c r="I39" s="41"/>
      <c r="J39" s="283"/>
      <c r="K39" s="24"/>
    </row>
    <row r="40" spans="1:11">
      <c r="A40" s="27" t="s">
        <v>28</v>
      </c>
      <c r="B40" s="63"/>
      <c r="C40" s="63"/>
      <c r="D40" s="80"/>
      <c r="E40" s="29">
        <f t="shared" si="1"/>
        <v>0</v>
      </c>
      <c r="F40" s="3"/>
      <c r="G40" s="53" t="s">
        <v>62</v>
      </c>
      <c r="H40" s="54"/>
      <c r="I40" s="312"/>
      <c r="J40" s="313"/>
      <c r="K40" s="24"/>
    </row>
    <row r="41" spans="1:11">
      <c r="A41" s="27" t="s">
        <v>150</v>
      </c>
      <c r="B41" s="63"/>
      <c r="C41" s="63"/>
      <c r="D41" s="80"/>
      <c r="E41" s="29">
        <f t="shared" si="1"/>
        <v>0</v>
      </c>
      <c r="F41" s="3"/>
      <c r="G41" s="57" t="s">
        <v>19</v>
      </c>
      <c r="H41" s="58"/>
      <c r="I41" s="304">
        <f>'CEF Março 2019'!I88:J88</f>
        <v>0</v>
      </c>
      <c r="J41" s="305"/>
      <c r="K41" s="24"/>
    </row>
    <row r="42" spans="1:11">
      <c r="A42" s="27" t="s">
        <v>220</v>
      </c>
      <c r="B42" s="63"/>
      <c r="C42" s="63"/>
      <c r="D42" s="80"/>
      <c r="E42" s="29">
        <f t="shared" si="1"/>
        <v>0</v>
      </c>
      <c r="F42" s="3"/>
      <c r="G42" s="27" t="s">
        <v>48</v>
      </c>
      <c r="H42" s="282"/>
      <c r="I42" s="306">
        <f>SUMIF($G$8:$G$14,G42,$E$8:$E$14)</f>
        <v>0</v>
      </c>
      <c r="J42" s="307"/>
      <c r="K42" s="24"/>
    </row>
    <row r="43" spans="1:11">
      <c r="A43" s="27" t="s">
        <v>151</v>
      </c>
      <c r="B43" s="63"/>
      <c r="C43" s="63"/>
      <c r="D43" s="80"/>
      <c r="E43" s="29">
        <f t="shared" si="1"/>
        <v>9056.9500000000007</v>
      </c>
      <c r="F43" s="3"/>
      <c r="G43" s="281" t="s">
        <v>14</v>
      </c>
      <c r="H43" s="282"/>
      <c r="I43" s="306">
        <f>-SUMIF($G$8:$G$14,G43,$D$8:$D$14)</f>
        <v>0</v>
      </c>
      <c r="J43" s="307"/>
      <c r="K43" s="24"/>
    </row>
    <row r="44" spans="1:11">
      <c r="A44" s="27" t="s">
        <v>176</v>
      </c>
      <c r="B44" s="63"/>
      <c r="C44" s="63"/>
      <c r="D44" s="80"/>
      <c r="E44" s="29">
        <f t="shared" si="1"/>
        <v>0</v>
      </c>
      <c r="F44" s="3"/>
      <c r="G44" s="30"/>
      <c r="H44" s="31"/>
      <c r="I44" s="314"/>
      <c r="J44" s="315"/>
      <c r="K44" s="24"/>
    </row>
    <row r="45" spans="1:11">
      <c r="A45" s="27" t="s">
        <v>272</v>
      </c>
      <c r="B45" s="63"/>
      <c r="C45" s="63"/>
      <c r="D45" s="80"/>
      <c r="E45" s="29">
        <f t="shared" si="1"/>
        <v>0</v>
      </c>
      <c r="F45" s="3"/>
      <c r="G45" s="32" t="s">
        <v>17</v>
      </c>
      <c r="H45" s="31"/>
      <c r="I45" s="302">
        <f>SUM(I41:J44)</f>
        <v>0</v>
      </c>
      <c r="J45" s="303"/>
      <c r="K45" s="24"/>
    </row>
    <row r="46" spans="1:11">
      <c r="A46" s="27" t="s">
        <v>43</v>
      </c>
      <c r="B46" s="63"/>
      <c r="C46" s="63"/>
      <c r="D46" s="80"/>
      <c r="E46" s="29">
        <f t="shared" si="1"/>
        <v>0</v>
      </c>
      <c r="F46" s="3"/>
      <c r="G46" s="49"/>
      <c r="H46" s="41"/>
      <c r="I46" s="41"/>
      <c r="J46" s="283"/>
      <c r="K46" s="24"/>
    </row>
    <row r="47" spans="1:11">
      <c r="A47" s="27" t="s">
        <v>179</v>
      </c>
      <c r="B47" s="63"/>
      <c r="C47" s="63"/>
      <c r="D47" s="80"/>
      <c r="E47" s="29">
        <f t="shared" si="1"/>
        <v>0</v>
      </c>
      <c r="F47" s="3"/>
      <c r="G47" s="36" t="s">
        <v>16</v>
      </c>
      <c r="H47" s="37"/>
      <c r="I47" s="66"/>
      <c r="J47" s="67"/>
      <c r="K47" s="24"/>
    </row>
    <row r="48" spans="1:11">
      <c r="A48" s="27" t="s">
        <v>34</v>
      </c>
      <c r="B48" s="63"/>
      <c r="C48" s="63"/>
      <c r="D48" s="80"/>
      <c r="E48" s="29">
        <f t="shared" si="1"/>
        <v>0</v>
      </c>
      <c r="F48" s="3"/>
      <c r="G48" s="281" t="s">
        <v>19</v>
      </c>
      <c r="H48" s="282"/>
      <c r="I48" s="308">
        <f>'CEF Setembro 2020'!I94:J94</f>
        <v>62677.369999999006</v>
      </c>
      <c r="J48" s="309"/>
      <c r="K48" s="24"/>
    </row>
    <row r="49" spans="1:13">
      <c r="A49" s="27" t="s">
        <v>72</v>
      </c>
      <c r="B49" s="63"/>
      <c r="C49" s="63"/>
      <c r="D49" s="80"/>
      <c r="E49" s="29">
        <f t="shared" si="1"/>
        <v>0</v>
      </c>
      <c r="F49" s="3"/>
      <c r="G49" s="281" t="s">
        <v>409</v>
      </c>
      <c r="H49" s="282"/>
      <c r="I49" s="291">
        <v>0</v>
      </c>
      <c r="J49" s="292"/>
      <c r="K49" s="24"/>
    </row>
    <row r="50" spans="1:13">
      <c r="A50" s="27" t="s">
        <v>307</v>
      </c>
      <c r="B50" s="63"/>
      <c r="C50" s="63"/>
      <c r="D50" s="80"/>
      <c r="E50" s="29">
        <f t="shared" si="1"/>
        <v>0</v>
      </c>
      <c r="F50" s="3"/>
      <c r="G50" s="281" t="s">
        <v>147</v>
      </c>
      <c r="H50" s="282"/>
      <c r="I50" s="306">
        <f>-SUMIF($G$8:$G$14,G50,$E$8:$E$14)</f>
        <v>0</v>
      </c>
      <c r="J50" s="307"/>
      <c r="K50" s="24"/>
    </row>
    <row r="51" spans="1:13">
      <c r="A51" s="27" t="s">
        <v>120</v>
      </c>
      <c r="B51" s="63"/>
      <c r="C51" s="63"/>
      <c r="D51" s="80"/>
      <c r="E51" s="29">
        <f t="shared" si="1"/>
        <v>0</v>
      </c>
      <c r="F51" s="3"/>
      <c r="G51" s="30"/>
      <c r="H51" s="31"/>
      <c r="I51" s="300"/>
      <c r="J51" s="301"/>
      <c r="K51" s="24"/>
    </row>
    <row r="52" spans="1:13">
      <c r="A52" s="27"/>
      <c r="B52" s="63"/>
      <c r="C52" s="63"/>
      <c r="D52" s="80"/>
      <c r="E52" s="29">
        <f t="shared" si="1"/>
        <v>0</v>
      </c>
      <c r="F52" s="3"/>
      <c r="G52" s="32" t="s">
        <v>18</v>
      </c>
      <c r="H52" s="31"/>
      <c r="I52" s="310">
        <f>SUM(I48:J51)</f>
        <v>62677.369999999006</v>
      </c>
      <c r="J52" s="311"/>
      <c r="K52" s="24"/>
      <c r="M52" s="39"/>
    </row>
    <row r="53" spans="1:13">
      <c r="A53" s="27"/>
      <c r="B53" s="41"/>
      <c r="C53" s="41"/>
      <c r="D53" s="80"/>
      <c r="E53" s="29">
        <f t="shared" si="1"/>
        <v>0</v>
      </c>
      <c r="F53" s="3"/>
      <c r="G53" s="27"/>
      <c r="H53" s="26"/>
      <c r="I53" s="26"/>
      <c r="J53" s="42"/>
      <c r="K53" s="24"/>
    </row>
    <row r="54" spans="1:13">
      <c r="A54" s="27"/>
      <c r="B54" s="63"/>
      <c r="C54" s="63"/>
      <c r="D54" s="80"/>
      <c r="E54" s="29">
        <f t="shared" si="1"/>
        <v>0</v>
      </c>
      <c r="F54" s="3"/>
      <c r="G54" s="53" t="s">
        <v>39</v>
      </c>
      <c r="H54" s="54"/>
      <c r="I54" s="54"/>
      <c r="J54" s="55"/>
      <c r="K54" s="24"/>
    </row>
    <row r="55" spans="1:13">
      <c r="A55" s="27"/>
      <c r="B55" s="63"/>
      <c r="C55" s="63"/>
      <c r="D55" s="80"/>
      <c r="E55" s="29">
        <f t="shared" si="1"/>
        <v>0</v>
      </c>
      <c r="F55" s="3"/>
      <c r="G55" s="28" t="s">
        <v>40</v>
      </c>
      <c r="H55" s="34"/>
      <c r="I55" s="304">
        <f>'CEF Setembro 2020'!I101:J101</f>
        <v>0</v>
      </c>
      <c r="J55" s="305"/>
      <c r="K55" s="24"/>
    </row>
    <row r="56" spans="1:13">
      <c r="A56" s="27"/>
      <c r="B56" s="63"/>
      <c r="C56" s="63"/>
      <c r="D56" s="80"/>
      <c r="E56" s="29">
        <f t="shared" si="1"/>
        <v>0</v>
      </c>
      <c r="F56" s="3"/>
      <c r="G56" s="27" t="s">
        <v>422</v>
      </c>
      <c r="H56" s="41"/>
      <c r="I56" s="306">
        <v>20282.330000000002</v>
      </c>
      <c r="J56" s="307"/>
      <c r="K56" s="24"/>
    </row>
    <row r="57" spans="1:13">
      <c r="A57" s="27"/>
      <c r="B57" s="63"/>
      <c r="C57" s="63"/>
      <c r="D57" s="80"/>
      <c r="E57" s="29">
        <f t="shared" si="1"/>
        <v>0</v>
      </c>
      <c r="F57" s="3"/>
      <c r="G57" s="27"/>
      <c r="H57" s="56"/>
      <c r="I57" s="306"/>
      <c r="J57" s="307"/>
      <c r="K57" s="24"/>
    </row>
    <row r="58" spans="1:13">
      <c r="A58" s="27"/>
      <c r="B58" s="63"/>
      <c r="C58" s="63"/>
      <c r="D58" s="80"/>
      <c r="E58" s="29">
        <f t="shared" si="1"/>
        <v>0</v>
      </c>
      <c r="F58" s="3"/>
      <c r="G58" s="59" t="s">
        <v>176</v>
      </c>
      <c r="H58" s="60"/>
      <c r="I58" s="300">
        <f>-SUMIF($G$8:$G$14,G58,$D$8:$D$14)</f>
        <v>0</v>
      </c>
      <c r="J58" s="301"/>
      <c r="K58" s="24"/>
    </row>
    <row r="59" spans="1:13">
      <c r="A59" s="62"/>
      <c r="B59" s="63"/>
      <c r="C59" s="63"/>
      <c r="D59" s="80"/>
      <c r="E59" s="29">
        <f t="shared" si="1"/>
        <v>0</v>
      </c>
      <c r="F59" s="3"/>
      <c r="G59" s="47" t="s">
        <v>17</v>
      </c>
      <c r="H59" s="48"/>
      <c r="I59" s="302">
        <f>SUM(I55:J58)</f>
        <v>20282.330000000002</v>
      </c>
      <c r="J59" s="303"/>
      <c r="K59" s="24"/>
    </row>
    <row r="60" spans="1:13">
      <c r="A60" s="27"/>
      <c r="B60" s="63"/>
      <c r="C60" s="63"/>
      <c r="D60" s="80"/>
      <c r="E60" s="29">
        <f t="shared" si="1"/>
        <v>0</v>
      </c>
      <c r="F60" s="3"/>
      <c r="G60" s="49"/>
      <c r="H60" s="41"/>
      <c r="I60" s="41"/>
      <c r="J60" s="283"/>
      <c r="K60" s="24"/>
    </row>
    <row r="61" spans="1:13">
      <c r="A61" s="27"/>
      <c r="B61" s="63"/>
      <c r="C61" s="63"/>
      <c r="D61" s="80"/>
      <c r="E61" s="29">
        <f t="shared" si="1"/>
        <v>0</v>
      </c>
      <c r="F61" s="3"/>
      <c r="G61" s="50" t="s">
        <v>41</v>
      </c>
      <c r="H61" s="51"/>
      <c r="I61" s="51"/>
      <c r="J61" s="52"/>
      <c r="K61" s="24"/>
    </row>
    <row r="62" spans="1:13">
      <c r="A62" s="30"/>
      <c r="B62" s="85"/>
      <c r="C62" s="85"/>
      <c r="D62" s="86"/>
      <c r="E62" s="87"/>
      <c r="F62" s="3"/>
      <c r="G62" s="27" t="s">
        <v>423</v>
      </c>
      <c r="H62" s="282"/>
      <c r="I62" s="291">
        <v>31826.880000000001</v>
      </c>
      <c r="J62" s="292"/>
      <c r="K62" s="24"/>
    </row>
    <row r="63" spans="1:13">
      <c r="A63" s="297" t="s">
        <v>22</v>
      </c>
      <c r="B63" s="298"/>
      <c r="C63" s="298"/>
      <c r="D63" s="81"/>
      <c r="E63" s="35">
        <f>SUM(E25:E61)</f>
        <v>9056.9500000000007</v>
      </c>
      <c r="F63" s="3"/>
      <c r="G63" s="89" t="s">
        <v>18</v>
      </c>
      <c r="H63" s="88"/>
      <c r="I63" s="302">
        <f>SUM(I62)</f>
        <v>31826.880000000001</v>
      </c>
      <c r="J63" s="303"/>
      <c r="K63" s="24"/>
    </row>
    <row r="64" spans="1:13">
      <c r="A64" s="27"/>
      <c r="B64" s="63"/>
      <c r="C64" s="63"/>
      <c r="D64" s="80"/>
      <c r="K64" s="24"/>
    </row>
    <row r="65" spans="1:11">
      <c r="A65" s="27"/>
      <c r="B65" s="63"/>
      <c r="C65" s="63"/>
      <c r="D65" s="80"/>
      <c r="G65" s="45"/>
      <c r="H65" s="45"/>
      <c r="I65" s="69"/>
      <c r="J65" s="69"/>
      <c r="K65" s="24"/>
    </row>
    <row r="66" spans="1:11">
      <c r="D66" s="284"/>
      <c r="F66" s="3"/>
      <c r="G66" s="45"/>
      <c r="H66" s="45"/>
      <c r="I66" s="69"/>
      <c r="J66" s="69"/>
      <c r="K66" s="24"/>
    </row>
    <row r="68" spans="1:11">
      <c r="E68" s="46"/>
    </row>
    <row r="69" spans="1:11">
      <c r="E69" s="46"/>
    </row>
    <row r="72" spans="1:11">
      <c r="E72" s="46"/>
    </row>
  </sheetData>
  <sortState ref="A25:E51">
    <sortCondition ref="A25"/>
  </sortState>
  <mergeCells count="42">
    <mergeCell ref="I57:J57"/>
    <mergeCell ref="I58:J58"/>
    <mergeCell ref="I59:J59"/>
    <mergeCell ref="I62:J62"/>
    <mergeCell ref="A63:C63"/>
    <mergeCell ref="I63:J63"/>
    <mergeCell ref="I56:J56"/>
    <mergeCell ref="I41:J41"/>
    <mergeCell ref="I42:J42"/>
    <mergeCell ref="I43:J43"/>
    <mergeCell ref="I44:J44"/>
    <mergeCell ref="I45:J45"/>
    <mergeCell ref="I48:J48"/>
    <mergeCell ref="I49:J49"/>
    <mergeCell ref="I50:J50"/>
    <mergeCell ref="I51:J51"/>
    <mergeCell ref="I52:J52"/>
    <mergeCell ref="I55:J55"/>
    <mergeCell ref="G35:H35"/>
    <mergeCell ref="I35:J35"/>
    <mergeCell ref="I36:J36"/>
    <mergeCell ref="I37:J37"/>
    <mergeCell ref="I38:J38"/>
    <mergeCell ref="I40:J40"/>
    <mergeCell ref="I27:J27"/>
    <mergeCell ref="I28:J28"/>
    <mergeCell ref="I29:J29"/>
    <mergeCell ref="I30:J30"/>
    <mergeCell ref="I33:J33"/>
    <mergeCell ref="I34:J34"/>
    <mergeCell ref="A22:K22"/>
    <mergeCell ref="A24:E24"/>
    <mergeCell ref="G24:J24"/>
    <mergeCell ref="I25:J25"/>
    <mergeCell ref="G26:H26"/>
    <mergeCell ref="I26:J26"/>
    <mergeCell ref="A20:K20"/>
    <mergeCell ref="A2:K2"/>
    <mergeCell ref="A4:K4"/>
    <mergeCell ref="A6:F6"/>
    <mergeCell ref="G6:K6"/>
    <mergeCell ref="A15:B1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3"/>
  <sheetViews>
    <sheetView topLeftCell="A48" workbookViewId="0">
      <selection activeCell="I65" sqref="I65:J65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476987.79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-727.51</v>
      </c>
      <c r="C5" s="41"/>
      <c r="D5" s="144"/>
      <c r="E5" s="41"/>
      <c r="F5" s="41"/>
    </row>
    <row r="6" spans="1:10" ht="15.75" thickBot="1">
      <c r="A6" s="177"/>
      <c r="B6" s="255">
        <f>SUM(B2:B5)</f>
        <v>769653.23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769752.23</v>
      </c>
      <c r="C9" s="165"/>
      <c r="D9" s="144"/>
      <c r="E9" s="185"/>
      <c r="F9" s="41"/>
    </row>
    <row r="10" spans="1:10" ht="15.75" thickBot="1"/>
    <row r="11" spans="1:10" ht="112.5" customHeight="1">
      <c r="A11" s="326" t="s">
        <v>242</v>
      </c>
      <c r="B11" s="326" t="s">
        <v>243</v>
      </c>
      <c r="C11" s="130" t="s">
        <v>244</v>
      </c>
      <c r="D11" s="130" t="s">
        <v>246</v>
      </c>
      <c r="E11" s="130" t="s">
        <v>248</v>
      </c>
      <c r="F11" s="326" t="s">
        <v>250</v>
      </c>
      <c r="J11" s="274" t="s">
        <v>399</v>
      </c>
    </row>
    <row r="12" spans="1:10" ht="67.5" customHeight="1" thickBot="1">
      <c r="A12" s="328"/>
      <c r="B12" s="328"/>
      <c r="C12" s="133" t="s">
        <v>245</v>
      </c>
      <c r="D12" s="133" t="s">
        <v>247</v>
      </c>
      <c r="E12" s="133" t="s">
        <v>249</v>
      </c>
      <c r="F12" s="328"/>
    </row>
    <row r="13" spans="1:10" ht="24.95" customHeight="1" thickBot="1">
      <c r="A13" s="118" t="s">
        <v>211</v>
      </c>
      <c r="B13" s="257">
        <f>162337.66</f>
        <v>162337.66</v>
      </c>
      <c r="C13" s="258">
        <f>D38+D39+D41+D42+D43+D49+D53+D59+D55+D48+D51</f>
        <v>132539.46</v>
      </c>
      <c r="D13" s="115"/>
      <c r="E13" s="260">
        <f t="shared" ref="E13:E29" si="0">C13+D13</f>
        <v>132539.46</v>
      </c>
      <c r="F13" s="261">
        <f>12009.42+116.4+95552.88+19352.52+422930.23+8531.51+886.36+954.96+9179.31</f>
        <v>569513.59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111420</f>
        <v>111420</v>
      </c>
      <c r="C19" s="258">
        <f>D44+D45+D56+D54</f>
        <v>113174.02</v>
      </c>
      <c r="D19" s="115"/>
      <c r="E19" s="260">
        <f t="shared" si="0"/>
        <v>113174.02</v>
      </c>
      <c r="F19" s="261">
        <f>2427.3+1624.7+111300</f>
        <v>115352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135</v>
      </c>
      <c r="C27" s="151"/>
      <c r="D27" s="258">
        <f>D57</f>
        <v>135.5</v>
      </c>
      <c r="E27" s="260">
        <f t="shared" si="0"/>
        <v>135.5</v>
      </c>
      <c r="F27" s="115"/>
    </row>
    <row r="28" spans="1:10" ht="24.95" customHeight="1" thickBot="1">
      <c r="A28" s="114" t="s">
        <v>196</v>
      </c>
      <c r="B28" s="259">
        <v>20282.330000000002</v>
      </c>
      <c r="C28" s="259">
        <f>D52</f>
        <v>20131.93</v>
      </c>
      <c r="D28" s="111"/>
      <c r="E28" s="260">
        <f>C28+D28</f>
        <v>20131.93</v>
      </c>
      <c r="F28" s="262">
        <f>20282.33</f>
        <v>20282.330000000002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294174.99000000005</v>
      </c>
      <c r="C30" s="152">
        <f>SUM(C13:C29)</f>
        <v>265845.40999999997</v>
      </c>
      <c r="D30" s="152">
        <f>SUM(D13:D29)</f>
        <v>135.5</v>
      </c>
      <c r="E30" s="152">
        <f>SUM(E13:E29)</f>
        <v>265980.90999999997</v>
      </c>
      <c r="F30" s="152">
        <f>SUM(F13:F29)</f>
        <v>705147.91999999993</v>
      </c>
      <c r="H30" s="244">
        <f>2408719.89-1703571.97</f>
        <v>705147.92000000016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233</v>
      </c>
      <c r="B33" s="266"/>
      <c r="C33" s="266"/>
      <c r="D33" s="182">
        <v>0</v>
      </c>
    </row>
    <row r="34" spans="1:5">
      <c r="A34" s="27" t="s">
        <v>149</v>
      </c>
      <c r="B34" s="266"/>
      <c r="C34" s="266"/>
      <c r="D34" s="182"/>
      <c r="E34" s="182">
        <v>197839.96</v>
      </c>
    </row>
    <row r="35" spans="1:5">
      <c r="A35" s="62" t="s">
        <v>368</v>
      </c>
      <c r="B35" s="266"/>
      <c r="C35" s="266"/>
      <c r="D35" s="182">
        <v>0</v>
      </c>
    </row>
    <row r="36" spans="1:5">
      <c r="A36" s="27" t="s">
        <v>177</v>
      </c>
      <c r="B36" s="266"/>
      <c r="C36" s="266"/>
      <c r="D36" s="182">
        <v>0</v>
      </c>
    </row>
    <row r="37" spans="1:5">
      <c r="A37" s="27" t="s">
        <v>255</v>
      </c>
      <c r="B37" s="266"/>
      <c r="C37" s="266"/>
      <c r="D37" s="182">
        <v>0</v>
      </c>
    </row>
    <row r="38" spans="1:5">
      <c r="A38" s="27" t="s">
        <v>175</v>
      </c>
      <c r="B38" s="266"/>
      <c r="C38" s="266"/>
      <c r="D38" s="182">
        <v>11726.960000000001</v>
      </c>
    </row>
    <row r="39" spans="1:5">
      <c r="A39" s="27" t="s">
        <v>271</v>
      </c>
      <c r="B39" s="266"/>
      <c r="C39" s="266"/>
      <c r="D39" s="182">
        <v>0</v>
      </c>
    </row>
    <row r="40" spans="1:5">
      <c r="A40" s="27" t="s">
        <v>25</v>
      </c>
      <c r="B40" s="266"/>
      <c r="C40" s="266"/>
      <c r="D40" s="182">
        <v>0</v>
      </c>
    </row>
    <row r="41" spans="1:5">
      <c r="A41" s="27" t="s">
        <v>270</v>
      </c>
      <c r="B41" s="266"/>
      <c r="C41" s="266"/>
      <c r="D41" s="182">
        <v>95030.73</v>
      </c>
    </row>
    <row r="42" spans="1:5">
      <c r="A42" s="27" t="s">
        <v>29</v>
      </c>
      <c r="B42" s="266"/>
      <c r="C42" s="266"/>
      <c r="D42" s="182">
        <v>10195.51</v>
      </c>
    </row>
    <row r="43" spans="1:5">
      <c r="A43" s="27" t="s">
        <v>282</v>
      </c>
      <c r="B43" s="266"/>
      <c r="C43" s="266"/>
      <c r="D43" s="182">
        <v>3505.34</v>
      </c>
    </row>
    <row r="44" spans="1:5">
      <c r="A44" s="27" t="s">
        <v>273</v>
      </c>
      <c r="B44" s="266"/>
      <c r="C44" s="266"/>
      <c r="D44" s="182">
        <v>702</v>
      </c>
    </row>
    <row r="45" spans="1:5">
      <c r="A45" s="27" t="s">
        <v>218</v>
      </c>
      <c r="B45" s="266"/>
      <c r="C45" s="266"/>
      <c r="D45" s="182">
        <v>1667.22</v>
      </c>
    </row>
    <row r="46" spans="1:5">
      <c r="A46" s="27" t="s">
        <v>379</v>
      </c>
      <c r="B46" s="266"/>
      <c r="C46" s="266"/>
      <c r="D46" s="182">
        <v>0</v>
      </c>
    </row>
    <row r="47" spans="1:5">
      <c r="A47" s="27" t="s">
        <v>231</v>
      </c>
      <c r="B47" s="266"/>
      <c r="C47" s="266"/>
      <c r="D47" s="182">
        <v>0</v>
      </c>
    </row>
    <row r="48" spans="1:5">
      <c r="A48" s="27" t="s">
        <v>28</v>
      </c>
      <c r="B48" s="266"/>
      <c r="C48" s="266"/>
      <c r="D48" s="182">
        <v>8.9</v>
      </c>
    </row>
    <row r="49" spans="1:6">
      <c r="A49" s="27" t="s">
        <v>150</v>
      </c>
      <c r="B49" s="266"/>
      <c r="C49" s="266"/>
      <c r="D49" s="182">
        <v>441.6</v>
      </c>
    </row>
    <row r="50" spans="1:6">
      <c r="A50" s="27" t="s">
        <v>220</v>
      </c>
      <c r="B50" s="266"/>
      <c r="C50" s="266"/>
      <c r="D50" s="182"/>
      <c r="E50" s="182">
        <v>33476.539999999994</v>
      </c>
    </row>
    <row r="51" spans="1:6" s="284" customFormat="1">
      <c r="A51" s="27" t="s">
        <v>151</v>
      </c>
      <c r="B51" s="266"/>
      <c r="C51" s="266"/>
      <c r="D51" s="29">
        <v>9056.9500000000007</v>
      </c>
      <c r="E51" s="165"/>
    </row>
    <row r="52" spans="1:6">
      <c r="A52" s="27" t="s">
        <v>176</v>
      </c>
      <c r="B52" s="266"/>
      <c r="C52" s="266"/>
      <c r="D52" s="182">
        <v>20131.93</v>
      </c>
    </row>
    <row r="53" spans="1:6">
      <c r="A53" s="27" t="s">
        <v>272</v>
      </c>
      <c r="B53" s="266"/>
      <c r="C53" s="266"/>
      <c r="D53" s="182">
        <v>513.36</v>
      </c>
    </row>
    <row r="54" spans="1:6">
      <c r="A54" s="27" t="s">
        <v>43</v>
      </c>
      <c r="B54" s="266"/>
      <c r="C54" s="266"/>
      <c r="D54" s="182">
        <v>2176.1999999999998</v>
      </c>
    </row>
    <row r="55" spans="1:6">
      <c r="A55" s="27" t="s">
        <v>179</v>
      </c>
      <c r="B55" s="266"/>
      <c r="C55" s="266"/>
      <c r="D55" s="182">
        <v>2060.11</v>
      </c>
    </row>
    <row r="56" spans="1:6">
      <c r="A56" s="27" t="s">
        <v>34</v>
      </c>
      <c r="B56" s="266"/>
      <c r="C56" s="266"/>
      <c r="D56" s="182">
        <v>108628.6</v>
      </c>
    </row>
    <row r="57" spans="1:6">
      <c r="A57" s="27" t="s">
        <v>72</v>
      </c>
      <c r="B57" s="266"/>
      <c r="C57" s="266"/>
      <c r="D57" s="182">
        <v>135.5</v>
      </c>
    </row>
    <row r="58" spans="1:6">
      <c r="A58" s="27" t="s">
        <v>307</v>
      </c>
      <c r="B58" s="266"/>
      <c r="C58" s="266"/>
      <c r="D58" s="182">
        <v>0</v>
      </c>
    </row>
    <row r="59" spans="1:6">
      <c r="A59" s="27" t="s">
        <v>120</v>
      </c>
      <c r="B59" s="266"/>
      <c r="C59" s="266"/>
      <c r="D59" s="182">
        <v>0</v>
      </c>
    </row>
    <row r="60" spans="1:6">
      <c r="A60" s="266"/>
      <c r="B60" s="266"/>
      <c r="C60" s="266"/>
      <c r="D60" s="182"/>
    </row>
    <row r="61" spans="1:6">
      <c r="A61" s="335" t="s">
        <v>194</v>
      </c>
      <c r="B61" s="336"/>
      <c r="C61" s="294"/>
      <c r="D61" s="267">
        <f>SUM(D33:D59)</f>
        <v>265980.90999999997</v>
      </c>
      <c r="E61" s="267">
        <f>SUM(E33:E59)</f>
        <v>231316.5</v>
      </c>
      <c r="F61" s="46">
        <f>D61+E61</f>
        <v>497297.41</v>
      </c>
    </row>
    <row r="62" spans="1:6">
      <c r="F62" s="46">
        <f>F61-'CEF Setembro 2020'!E105</f>
        <v>9056.9500000000116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769752.23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265980.90999999997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503771.32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503771.32</v>
      </c>
      <c r="C68" s="92"/>
      <c r="D68" s="92"/>
      <c r="E68" s="46"/>
    </row>
    <row r="71" spans="1:5">
      <c r="E71" s="46"/>
    </row>
    <row r="73" spans="1:5">
      <c r="A73" s="27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169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145</v>
      </c>
      <c r="H12" s="7"/>
      <c r="I12" s="4"/>
      <c r="J12" s="19"/>
      <c r="K12" s="16"/>
    </row>
    <row r="13" spans="1:11">
      <c r="A13" s="15">
        <v>43318</v>
      </c>
      <c r="B13" s="4">
        <v>309379</v>
      </c>
      <c r="C13" s="4" t="s">
        <v>172</v>
      </c>
      <c r="D13" s="77">
        <v>90152.03</v>
      </c>
      <c r="E13" s="5"/>
      <c r="F13" s="6">
        <f t="shared" si="0"/>
        <v>0</v>
      </c>
      <c r="G13" s="9" t="s">
        <v>148</v>
      </c>
      <c r="H13" s="7"/>
      <c r="I13" s="4"/>
      <c r="J13" s="19"/>
      <c r="K13" s="16"/>
    </row>
    <row r="14" spans="1:11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147</v>
      </c>
      <c r="H14" s="7"/>
      <c r="I14" s="4"/>
      <c r="J14" s="19"/>
      <c r="K14" s="16"/>
    </row>
    <row r="15" spans="1:11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148</v>
      </c>
      <c r="H16" s="7" t="s">
        <v>156</v>
      </c>
      <c r="I16" s="4"/>
      <c r="J16" s="19"/>
      <c r="K16" s="16"/>
    </row>
    <row r="17" spans="1:11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149</v>
      </c>
      <c r="H17" s="7"/>
      <c r="I17" s="4"/>
      <c r="J17" s="19"/>
      <c r="K17" s="16"/>
    </row>
    <row r="18" spans="1:11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174</v>
      </c>
      <c r="H18" s="7" t="s">
        <v>61</v>
      </c>
      <c r="I18" s="4">
        <v>12</v>
      </c>
      <c r="J18" s="19">
        <v>5</v>
      </c>
      <c r="K18" s="16">
        <v>43322</v>
      </c>
    </row>
    <row r="19" spans="1:11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174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174</v>
      </c>
      <c r="H20" s="7" t="s">
        <v>183</v>
      </c>
      <c r="I20" s="4">
        <v>3</v>
      </c>
      <c r="J20" s="19">
        <v>2</v>
      </c>
      <c r="K20" s="16">
        <v>43321</v>
      </c>
    </row>
    <row r="21" spans="1:11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174</v>
      </c>
      <c r="H22" s="7" t="s">
        <v>119</v>
      </c>
      <c r="I22" s="4">
        <v>7</v>
      </c>
      <c r="J22" s="19">
        <v>5</v>
      </c>
      <c r="K22" s="16">
        <v>43321</v>
      </c>
    </row>
    <row r="23" spans="1:11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174</v>
      </c>
      <c r="H23" s="7" t="s">
        <v>128</v>
      </c>
      <c r="I23" s="4">
        <v>16</v>
      </c>
      <c r="J23" s="19">
        <v>5</v>
      </c>
      <c r="K23" s="16">
        <v>43322</v>
      </c>
    </row>
    <row r="24" spans="1:11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178</v>
      </c>
      <c r="H24" s="7" t="s">
        <v>180</v>
      </c>
      <c r="I24" s="4">
        <v>18</v>
      </c>
      <c r="J24" s="19">
        <v>3</v>
      </c>
      <c r="K24" s="16">
        <v>43325</v>
      </c>
    </row>
    <row r="25" spans="1:11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160</v>
      </c>
      <c r="I26" s="4">
        <v>1</v>
      </c>
      <c r="J26" s="19">
        <v>1</v>
      </c>
      <c r="K26" s="16"/>
    </row>
    <row r="27" spans="1:11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175</v>
      </c>
      <c r="H28" s="7" t="s">
        <v>161</v>
      </c>
      <c r="I28" s="4">
        <v>1</v>
      </c>
      <c r="J28" s="19">
        <v>1</v>
      </c>
      <c r="K28" s="16"/>
    </row>
    <row r="29" spans="1:11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145</v>
      </c>
      <c r="H29" s="7"/>
      <c r="I29" s="4"/>
      <c r="J29" s="19"/>
      <c r="K29" s="16"/>
    </row>
    <row r="30" spans="1:11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174</v>
      </c>
      <c r="H33" s="7" t="s">
        <v>127</v>
      </c>
      <c r="I33" s="4">
        <v>47</v>
      </c>
      <c r="J33" s="19">
        <v>5</v>
      </c>
      <c r="K33" s="16">
        <v>43322</v>
      </c>
    </row>
    <row r="34" spans="1:11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145</v>
      </c>
      <c r="H35" s="7"/>
      <c r="I35" s="4"/>
      <c r="J35" s="19"/>
      <c r="K35" s="16"/>
    </row>
    <row r="36" spans="1:11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174</v>
      </c>
      <c r="H36" s="7" t="s">
        <v>184</v>
      </c>
      <c r="I36" s="4">
        <v>2</v>
      </c>
      <c r="J36" s="19">
        <v>2</v>
      </c>
      <c r="K36" s="16">
        <v>43322</v>
      </c>
    </row>
    <row r="37" spans="1:11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151</v>
      </c>
      <c r="H39" s="7"/>
      <c r="I39" s="4"/>
      <c r="J39" s="19"/>
      <c r="K39" s="16"/>
    </row>
    <row r="40" spans="1:11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145</v>
      </c>
      <c r="H40" s="7"/>
      <c r="I40" s="4"/>
      <c r="J40" s="19"/>
      <c r="K40" s="16"/>
    </row>
    <row r="41" spans="1:11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>
      <c r="A42" s="15">
        <v>43342</v>
      </c>
      <c r="B42" s="4">
        <v>233802</v>
      </c>
      <c r="C42" s="4" t="s">
        <v>173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182</v>
      </c>
      <c r="I42" s="4">
        <v>338</v>
      </c>
      <c r="J42" s="19">
        <v>2</v>
      </c>
      <c r="K42" s="16">
        <v>43335</v>
      </c>
    </row>
    <row r="43" spans="1:11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182</v>
      </c>
      <c r="I43" s="4">
        <v>339</v>
      </c>
      <c r="J43" s="19">
        <v>3</v>
      </c>
      <c r="K43" s="16">
        <v>43335</v>
      </c>
    </row>
    <row r="44" spans="1:11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145</v>
      </c>
      <c r="H44" s="7"/>
      <c r="I44" s="4"/>
      <c r="J44" s="19"/>
      <c r="K44" s="16"/>
    </row>
    <row r="45" spans="1:11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151</v>
      </c>
      <c r="H45" s="7"/>
      <c r="I45" s="4"/>
      <c r="J45" s="19"/>
      <c r="K45" s="16"/>
    </row>
    <row r="46" spans="1:11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176</v>
      </c>
      <c r="H46" s="7"/>
      <c r="I46" s="4"/>
      <c r="J46" s="19"/>
      <c r="K46" s="16"/>
    </row>
    <row r="47" spans="1:11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24" t="s">
        <v>12</v>
      </c>
      <c r="B49" s="325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299" t="s">
        <v>123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</row>
    <row r="55" spans="1:11" ht="18" customHeight="1"/>
    <row r="56" spans="1:11" ht="18" customHeight="1">
      <c r="A56" s="318" t="s">
        <v>168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19" t="s">
        <v>21</v>
      </c>
      <c r="B58" s="320"/>
      <c r="C58" s="320"/>
      <c r="D58" s="320"/>
      <c r="E58" s="321"/>
      <c r="F58" s="3"/>
      <c r="G58" s="322" t="s">
        <v>20</v>
      </c>
      <c r="H58" s="322"/>
      <c r="I58" s="322"/>
      <c r="J58" s="322"/>
      <c r="K58" s="24"/>
    </row>
    <row r="59" spans="1:11">
      <c r="A59" s="28" t="s">
        <v>149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147</v>
      </c>
      <c r="H59" s="26"/>
      <c r="I59" s="306">
        <f>SUMIF($G$8:$G$48,G59,$E$8:$E$48)</f>
        <v>249997.75</v>
      </c>
      <c r="J59" s="307"/>
      <c r="K59" s="24"/>
    </row>
    <row r="60" spans="1:11">
      <c r="A60" s="62" t="s">
        <v>174</v>
      </c>
      <c r="B60" s="63"/>
      <c r="C60" s="63"/>
      <c r="D60" s="80"/>
      <c r="E60" s="29">
        <f t="shared" si="1"/>
        <v>78582.080000000002</v>
      </c>
      <c r="F60" s="3"/>
      <c r="G60" s="316" t="s">
        <v>145</v>
      </c>
      <c r="H60" s="317"/>
      <c r="I60" s="306">
        <f>SUMIF($G$8:$G$48,G60,$E$8:$E$48)</f>
        <v>228897.83999999997</v>
      </c>
      <c r="J60" s="307"/>
      <c r="K60" s="24"/>
    </row>
    <row r="61" spans="1:11">
      <c r="A61" s="27" t="s">
        <v>177</v>
      </c>
      <c r="B61" s="63"/>
      <c r="C61" s="63"/>
      <c r="D61" s="80"/>
      <c r="E61" s="29">
        <f t="shared" si="1"/>
        <v>0</v>
      </c>
      <c r="F61" s="3"/>
      <c r="G61" s="316" t="s">
        <v>121</v>
      </c>
      <c r="H61" s="317"/>
      <c r="I61" s="306">
        <f>SUMIF($G$8:$G$48,G61,$E$8:$E$48)</f>
        <v>0</v>
      </c>
      <c r="J61" s="307"/>
      <c r="K61" s="24"/>
    </row>
    <row r="62" spans="1:11">
      <c r="A62" s="27" t="s">
        <v>175</v>
      </c>
      <c r="B62" s="63"/>
      <c r="C62" s="63"/>
      <c r="D62" s="80"/>
      <c r="E62" s="29">
        <f t="shared" si="1"/>
        <v>11685.5</v>
      </c>
      <c r="F62" s="3"/>
      <c r="G62" s="316" t="s">
        <v>137</v>
      </c>
      <c r="H62" s="317"/>
      <c r="I62" s="306">
        <f>SUMIF($G$8:$G$48,G62,$E$8:$E$48)</f>
        <v>0</v>
      </c>
      <c r="J62" s="307"/>
      <c r="K62" s="24"/>
    </row>
    <row r="63" spans="1:11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306">
        <f>SUMIF($G$8:$G$48,G63,$E$8:$E$48)</f>
        <v>0</v>
      </c>
      <c r="J63" s="307"/>
      <c r="K63" s="24"/>
    </row>
    <row r="64" spans="1:11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302">
        <f>SUM(I59:J63)</f>
        <v>478895.58999999997</v>
      </c>
      <c r="J64" s="303"/>
      <c r="K64" s="61">
        <f>E49-I64</f>
        <v>0</v>
      </c>
    </row>
    <row r="65" spans="1:11">
      <c r="A65" s="27" t="s">
        <v>148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>
      <c r="A67" s="27" t="s">
        <v>31</v>
      </c>
      <c r="B67" s="63"/>
      <c r="C67" s="63"/>
      <c r="D67" s="80"/>
      <c r="E67" s="29">
        <f t="shared" si="1"/>
        <v>3671.66</v>
      </c>
      <c r="F67" s="3"/>
      <c r="G67" s="103" t="s">
        <v>19</v>
      </c>
      <c r="H67" s="104"/>
      <c r="I67" s="306">
        <f>'CEF Julho 2018'!I89:J89</f>
        <v>126075.97</v>
      </c>
      <c r="J67" s="307"/>
    </row>
    <row r="68" spans="1:11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149</v>
      </c>
      <c r="H68" s="104"/>
      <c r="I68" s="306">
        <f>SUMIF($G$8:$G$48,G68,$D$8:$D$48)</f>
        <v>248822.76</v>
      </c>
      <c r="J68" s="307"/>
    </row>
    <row r="69" spans="1:11">
      <c r="A69" s="27" t="s">
        <v>150</v>
      </c>
      <c r="B69" s="63"/>
      <c r="C69" s="63"/>
      <c r="D69" s="80"/>
      <c r="E69" s="29">
        <f t="shared" si="1"/>
        <v>0</v>
      </c>
      <c r="F69" s="3"/>
      <c r="G69" s="316" t="s">
        <v>145</v>
      </c>
      <c r="H69" s="317"/>
      <c r="I69" s="306">
        <f>-SUMIF($G$8:$G$48,G69,$E$8:$E$48)</f>
        <v>-228897.83999999997</v>
      </c>
      <c r="J69" s="307"/>
    </row>
    <row r="70" spans="1:11">
      <c r="A70" s="27" t="s">
        <v>151</v>
      </c>
      <c r="B70" s="63"/>
      <c r="C70" s="63"/>
      <c r="D70" s="80"/>
      <c r="E70" s="29">
        <f t="shared" si="1"/>
        <v>8533.51</v>
      </c>
      <c r="F70" s="3"/>
      <c r="G70" s="103" t="s">
        <v>30</v>
      </c>
      <c r="H70" s="104"/>
      <c r="I70" s="306">
        <v>761.47</v>
      </c>
      <c r="J70" s="307"/>
    </row>
    <row r="71" spans="1:11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314"/>
      <c r="J71" s="315"/>
    </row>
    <row r="72" spans="1:11">
      <c r="A72" s="27" t="s">
        <v>176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310">
        <f>SUM(I67:J70)</f>
        <v>146762.36000000002</v>
      </c>
      <c r="J72" s="311"/>
    </row>
    <row r="73" spans="1:11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105"/>
      <c r="K73" s="24"/>
    </row>
    <row r="74" spans="1:11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312"/>
      <c r="J74" s="313"/>
      <c r="K74" s="24"/>
    </row>
    <row r="75" spans="1:11">
      <c r="A75" s="27" t="s">
        <v>179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304">
        <v>0</v>
      </c>
      <c r="J75" s="305"/>
      <c r="K75" s="24"/>
    </row>
    <row r="76" spans="1:11">
      <c r="A76" s="27" t="s">
        <v>146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4"/>
      <c r="I76" s="306">
        <f>SUMIF($G$8:$G$48,G76,$E$8:$E$48)</f>
        <v>0</v>
      </c>
      <c r="J76" s="307"/>
      <c r="K76" s="24"/>
    </row>
    <row r="77" spans="1:11">
      <c r="A77" s="27" t="s">
        <v>34</v>
      </c>
      <c r="B77" s="63"/>
      <c r="C77" s="63"/>
      <c r="D77" s="80"/>
      <c r="E77" s="29">
        <f t="shared" si="1"/>
        <v>4800</v>
      </c>
      <c r="F77" s="3"/>
      <c r="G77" s="103" t="s">
        <v>14</v>
      </c>
      <c r="H77" s="104"/>
      <c r="I77" s="306">
        <f>-SUMIF($G$8:$G$48,G77,$D$8:$D$48)</f>
        <v>0</v>
      </c>
      <c r="J77" s="307"/>
      <c r="K77" s="24"/>
    </row>
    <row r="78" spans="1:11">
      <c r="A78" s="62" t="s">
        <v>178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314"/>
      <c r="J78" s="315"/>
      <c r="K78" s="24"/>
    </row>
    <row r="79" spans="1:11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302">
        <f>SUM(I75:J78)</f>
        <v>0</v>
      </c>
      <c r="J79" s="303"/>
      <c r="K79" s="24"/>
    </row>
    <row r="80" spans="1:11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5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103" t="s">
        <v>19</v>
      </c>
      <c r="H82" s="104"/>
      <c r="I82" s="308">
        <f>'CEF Julho 2018'!I103:J103</f>
        <v>0</v>
      </c>
      <c r="J82" s="309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103" t="s">
        <v>42</v>
      </c>
      <c r="H83" s="104"/>
      <c r="I83" s="291">
        <v>249997.75</v>
      </c>
      <c r="J83" s="292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103" t="s">
        <v>147</v>
      </c>
      <c r="H84" s="104"/>
      <c r="I84" s="306">
        <f>-SUMIF($G$8:$G$48,G84,$E$8:$E$48)</f>
        <v>-249997.75</v>
      </c>
      <c r="J84" s="307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00"/>
      <c r="J85" s="301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0">
        <f>SUM(I82:J85)</f>
        <v>0</v>
      </c>
      <c r="J86" s="311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04">
        <f>'CEF Julho 2018'!I110:J110</f>
        <v>16968.82</v>
      </c>
      <c r="J89" s="305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187</v>
      </c>
      <c r="H90" s="41"/>
      <c r="I90" s="306">
        <v>17317.98</v>
      </c>
      <c r="J90" s="307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06"/>
      <c r="J91" s="307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00">
        <f>-SUMIF($G$8:$G$48,G92,$D$8:$D$48)</f>
        <v>-16968.82</v>
      </c>
      <c r="J92" s="301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02">
        <f>SUM(I89:J92)</f>
        <v>17317.980000000003</v>
      </c>
      <c r="J93" s="303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103" t="s">
        <v>140</v>
      </c>
      <c r="H96" s="104"/>
      <c r="I96" s="291">
        <f>'CEF Julho 2018'!I117:J117</f>
        <v>57586.930000000008</v>
      </c>
      <c r="J96" s="292"/>
      <c r="K96" s="24"/>
    </row>
    <row r="97" spans="1:11">
      <c r="A97" s="297" t="s">
        <v>22</v>
      </c>
      <c r="B97" s="298"/>
      <c r="C97" s="298"/>
      <c r="D97" s="81"/>
      <c r="E97" s="35">
        <f>SUM(E59:E95)</f>
        <v>478895.59</v>
      </c>
      <c r="F97" s="3"/>
      <c r="G97" s="27" t="s">
        <v>192</v>
      </c>
      <c r="H97" s="104"/>
      <c r="I97" s="291"/>
      <c r="J97" s="292"/>
      <c r="K97" s="24"/>
    </row>
    <row r="98" spans="1:11">
      <c r="F98" s="3"/>
      <c r="G98" s="103"/>
      <c r="H98" s="104"/>
      <c r="I98" s="291"/>
      <c r="J98" s="292"/>
      <c r="K98" s="24"/>
    </row>
    <row r="99" spans="1:11">
      <c r="E99" s="46">
        <f>D49-E97</f>
        <v>0</v>
      </c>
      <c r="F99" s="3"/>
      <c r="G99" s="27"/>
      <c r="H99" s="41"/>
      <c r="I99" s="295"/>
      <c r="J99" s="296"/>
      <c r="K99" s="24"/>
    </row>
    <row r="100" spans="1:11">
      <c r="F100" s="3"/>
      <c r="G100" s="89" t="s">
        <v>18</v>
      </c>
      <c r="H100" s="88"/>
      <c r="I100" s="302">
        <f>SUM(I96:J99)</f>
        <v>57586.930000000008</v>
      </c>
      <c r="J100" s="303"/>
      <c r="K100" s="24"/>
    </row>
    <row r="101" spans="1:11">
      <c r="A101" s="27"/>
      <c r="B101" s="63"/>
      <c r="C101" s="63"/>
      <c r="D101" s="80"/>
      <c r="K101" s="24"/>
    </row>
    <row r="102" spans="1:11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>
      <c r="D103" s="72"/>
      <c r="F103" s="3"/>
      <c r="G103" s="45"/>
      <c r="H103" s="45"/>
      <c r="I103" s="69"/>
      <c r="J103" s="69"/>
      <c r="K103" s="24"/>
    </row>
    <row r="105" spans="1:11">
      <c r="E105" s="46"/>
    </row>
    <row r="106" spans="1:11">
      <c r="E106" s="46"/>
    </row>
    <row r="109" spans="1:11">
      <c r="E109" s="46"/>
    </row>
  </sheetData>
  <mergeCells count="47">
    <mergeCell ref="A97:C97"/>
    <mergeCell ref="I97:J97"/>
    <mergeCell ref="I98:J98"/>
    <mergeCell ref="I99:J99"/>
    <mergeCell ref="I100:J100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>
      <selection activeCell="I65" sqref="I65:J65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424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2020'!F57</f>
        <v>0</v>
      </c>
      <c r="G9" s="9"/>
      <c r="H9" s="7"/>
      <c r="I9" s="4"/>
      <c r="J9" s="19"/>
      <c r="K9" s="16"/>
    </row>
    <row r="10" spans="1:11">
      <c r="A10" s="15" t="s">
        <v>425</v>
      </c>
      <c r="B10" s="4">
        <v>92020</v>
      </c>
      <c r="C10" s="4" t="s">
        <v>427</v>
      </c>
      <c r="D10" s="77">
        <v>99</v>
      </c>
      <c r="E10" s="5"/>
      <c r="F10" s="6">
        <f t="shared" ref="F10:F13" si="0">F9-D10+E10</f>
        <v>-99</v>
      </c>
      <c r="G10" s="9" t="s">
        <v>430</v>
      </c>
      <c r="H10" s="7"/>
      <c r="I10" s="4"/>
      <c r="J10" s="19"/>
      <c r="K10" s="16"/>
    </row>
    <row r="11" spans="1:11">
      <c r="A11" s="15" t="s">
        <v>425</v>
      </c>
      <c r="B11" s="4">
        <v>1</v>
      </c>
      <c r="C11" s="4" t="s">
        <v>428</v>
      </c>
      <c r="D11" s="77"/>
      <c r="E11" s="77">
        <v>87318.02</v>
      </c>
      <c r="F11" s="6">
        <f t="shared" si="0"/>
        <v>87219.02</v>
      </c>
      <c r="G11" s="9" t="s">
        <v>147</v>
      </c>
      <c r="H11" s="7"/>
      <c r="I11" s="4"/>
      <c r="J11" s="19"/>
      <c r="K11" s="16"/>
    </row>
    <row r="12" spans="1:11" s="289" customFormat="1">
      <c r="A12" s="15" t="s">
        <v>425</v>
      </c>
      <c r="B12" s="4">
        <v>1</v>
      </c>
      <c r="C12" s="4" t="s">
        <v>428</v>
      </c>
      <c r="D12" s="77"/>
      <c r="E12" s="77">
        <v>206074.93</v>
      </c>
      <c r="F12" s="6">
        <f t="shared" si="0"/>
        <v>293293.95</v>
      </c>
      <c r="G12" s="9" t="s">
        <v>147</v>
      </c>
      <c r="H12" s="7"/>
      <c r="I12" s="4"/>
      <c r="J12" s="19"/>
      <c r="K12" s="16"/>
    </row>
    <row r="13" spans="1:11">
      <c r="A13" s="15" t="s">
        <v>426</v>
      </c>
      <c r="B13" s="4">
        <v>71614</v>
      </c>
      <c r="C13" s="4" t="s">
        <v>429</v>
      </c>
      <c r="D13" s="77">
        <v>293293.95</v>
      </c>
      <c r="E13" s="5"/>
      <c r="F13" s="6">
        <f t="shared" si="0"/>
        <v>0</v>
      </c>
      <c r="G13" s="9" t="s">
        <v>431</v>
      </c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24" t="s">
        <v>12</v>
      </c>
      <c r="B16" s="325"/>
      <c r="C16" s="21"/>
      <c r="D16" s="78">
        <f>SUM(D10:D15)</f>
        <v>293392.95</v>
      </c>
      <c r="E16" s="40">
        <f>SUM(E10:E15)</f>
        <v>293392.95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299" t="s">
        <v>123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</row>
    <row r="22" spans="1:13" ht="18" customHeight="1"/>
    <row r="23" spans="1:13" ht="18" customHeight="1">
      <c r="A23" s="318" t="s">
        <v>432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19" t="s">
        <v>21</v>
      </c>
      <c r="B25" s="320"/>
      <c r="C25" s="320"/>
      <c r="D25" s="320"/>
      <c r="E25" s="321"/>
      <c r="F25" s="3"/>
      <c r="G25" s="322" t="s">
        <v>20</v>
      </c>
      <c r="H25" s="322"/>
      <c r="I25" s="322"/>
      <c r="J25" s="322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99</v>
      </c>
      <c r="F26" s="3"/>
      <c r="G26" s="62" t="s">
        <v>147</v>
      </c>
      <c r="H26" s="26"/>
      <c r="I26" s="306">
        <f>SUMIF($G$8:$G$15,G26,$E$8:$E$15)</f>
        <v>293392.95</v>
      </c>
      <c r="J26" s="307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293293.95</v>
      </c>
      <c r="F27" s="3"/>
      <c r="G27" s="316" t="s">
        <v>145</v>
      </c>
      <c r="H27" s="317"/>
      <c r="I27" s="306">
        <f>SUMIF($G$8:$G$15,G27,$E$8:$E$15)</f>
        <v>0</v>
      </c>
      <c r="J27" s="307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7" t="s">
        <v>234</v>
      </c>
      <c r="H28" s="288"/>
      <c r="I28" s="306">
        <f>SUMIF($G$8:$G$15,G28,$E$8:$E$15)</f>
        <v>0</v>
      </c>
      <c r="J28" s="307"/>
      <c r="K28" s="24"/>
      <c r="M28" s="284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06">
        <f>SUMIF($G$8:$G$15,G29,$E$8:$E$15)</f>
        <v>0</v>
      </c>
      <c r="J29" s="307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06">
        <f>SUMIF($G$8:$G$15,G30,$E$8:$E$15)</f>
        <v>0</v>
      </c>
      <c r="J30" s="307"/>
      <c r="K30" s="24"/>
    </row>
    <row r="31" spans="1:13">
      <c r="A31" s="297" t="s">
        <v>22</v>
      </c>
      <c r="B31" s="298"/>
      <c r="C31" s="298"/>
      <c r="D31" s="81"/>
      <c r="E31" s="35">
        <f ca="1">SUM(E26:E31)</f>
        <v>293392.95</v>
      </c>
      <c r="F31" s="3"/>
      <c r="G31" s="47" t="s">
        <v>22</v>
      </c>
      <c r="H31" s="48"/>
      <c r="I31" s="302">
        <f>SUM(I26:J30)</f>
        <v>293392.95</v>
      </c>
      <c r="J31" s="303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84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sortState ref="A26:E52">
    <sortCondition ref="A26"/>
  </sortState>
  <mergeCells count="17">
    <mergeCell ref="A21:K21"/>
    <mergeCell ref="A2:K2"/>
    <mergeCell ref="A4:K4"/>
    <mergeCell ref="A6:F6"/>
    <mergeCell ref="G6:K6"/>
    <mergeCell ref="A16:B16"/>
    <mergeCell ref="A23:K23"/>
    <mergeCell ref="A25:E25"/>
    <mergeCell ref="G25:J25"/>
    <mergeCell ref="I26:J26"/>
    <mergeCell ref="G27:H27"/>
    <mergeCell ref="I27:J27"/>
    <mergeCell ref="A31:C31"/>
    <mergeCell ref="I28:J28"/>
    <mergeCell ref="I29:J29"/>
    <mergeCell ref="I30:J30"/>
    <mergeCell ref="I31:J3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5"/>
  <sheetViews>
    <sheetView tabSelected="1" topLeftCell="A50" workbookViewId="0">
      <selection activeCell="I65" sqref="I65:J65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433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901925-5 Setembro 2020 '!F15</f>
        <v>0</v>
      </c>
      <c r="G9" s="9"/>
      <c r="H9" s="7"/>
      <c r="I9" s="4"/>
      <c r="J9" s="19"/>
      <c r="K9" s="16"/>
    </row>
    <row r="10" spans="1:11">
      <c r="A10" s="15" t="s">
        <v>434</v>
      </c>
      <c r="B10" s="4">
        <v>635072</v>
      </c>
      <c r="C10" s="4" t="s">
        <v>444</v>
      </c>
      <c r="D10" s="77">
        <v>12009.42</v>
      </c>
      <c r="E10" s="5"/>
      <c r="F10" s="6">
        <f t="shared" ref="F10:F46" si="0">F9-D10+E10</f>
        <v>-12009.42</v>
      </c>
      <c r="G10" s="9" t="s">
        <v>472</v>
      </c>
      <c r="H10" s="7" t="s">
        <v>45</v>
      </c>
      <c r="I10" s="4">
        <v>29993317</v>
      </c>
      <c r="J10" s="19"/>
      <c r="K10" s="16" t="s">
        <v>434</v>
      </c>
    </row>
    <row r="11" spans="1:11">
      <c r="A11" s="15" t="s">
        <v>434</v>
      </c>
      <c r="B11" s="4">
        <v>727220</v>
      </c>
      <c r="C11" s="4" t="s">
        <v>445</v>
      </c>
      <c r="D11" s="77"/>
      <c r="E11" s="77">
        <v>12009.42</v>
      </c>
      <c r="F11" s="6">
        <f t="shared" si="0"/>
        <v>0</v>
      </c>
      <c r="G11" s="9" t="s">
        <v>477</v>
      </c>
      <c r="H11" s="7"/>
      <c r="I11" s="4"/>
      <c r="J11" s="19"/>
      <c r="K11" s="16"/>
    </row>
    <row r="12" spans="1:11">
      <c r="A12" s="15" t="s">
        <v>425</v>
      </c>
      <c r="B12" s="4">
        <v>109606</v>
      </c>
      <c r="C12" s="4" t="s">
        <v>444</v>
      </c>
      <c r="D12" s="77">
        <v>513.36</v>
      </c>
      <c r="E12" s="5"/>
      <c r="F12" s="6">
        <f t="shared" si="0"/>
        <v>-513.36</v>
      </c>
      <c r="G12" s="9" t="s">
        <v>272</v>
      </c>
      <c r="H12" s="7" t="s">
        <v>117</v>
      </c>
      <c r="I12" s="4">
        <v>92020</v>
      </c>
      <c r="J12" s="19"/>
      <c r="K12" s="16" t="s">
        <v>467</v>
      </c>
    </row>
    <row r="13" spans="1:11" s="290" customFormat="1">
      <c r="A13" s="15" t="s">
        <v>425</v>
      </c>
      <c r="B13" s="4">
        <v>785049</v>
      </c>
      <c r="C13" s="4" t="s">
        <v>445</v>
      </c>
      <c r="D13" s="77"/>
      <c r="E13" s="77">
        <v>490504.37</v>
      </c>
      <c r="F13" s="6">
        <f t="shared" si="0"/>
        <v>489991.01</v>
      </c>
      <c r="G13" s="9" t="s">
        <v>477</v>
      </c>
      <c r="H13" s="7"/>
      <c r="I13" s="4"/>
      <c r="J13" s="19"/>
      <c r="K13" s="16"/>
    </row>
    <row r="14" spans="1:11" s="290" customFormat="1">
      <c r="A14" s="15" t="s">
        <v>425</v>
      </c>
      <c r="B14" s="4">
        <v>309379</v>
      </c>
      <c r="C14" s="4" t="s">
        <v>444</v>
      </c>
      <c r="D14" s="77">
        <v>95552.88</v>
      </c>
      <c r="E14" s="5"/>
      <c r="F14" s="6">
        <f t="shared" si="0"/>
        <v>394438.13</v>
      </c>
      <c r="G14" s="9" t="s">
        <v>473</v>
      </c>
      <c r="H14" s="7" t="s">
        <v>454</v>
      </c>
      <c r="I14" s="4">
        <v>309379</v>
      </c>
      <c r="J14" s="19"/>
      <c r="K14" s="16" t="s">
        <v>425</v>
      </c>
    </row>
    <row r="15" spans="1:11" s="290" customFormat="1">
      <c r="A15" s="15" t="s">
        <v>426</v>
      </c>
      <c r="B15" s="4">
        <v>71614</v>
      </c>
      <c r="C15" s="4" t="s">
        <v>445</v>
      </c>
      <c r="D15" s="77"/>
      <c r="E15" s="77">
        <v>293293.95</v>
      </c>
      <c r="F15" s="6">
        <f t="shared" si="0"/>
        <v>687732.08000000007</v>
      </c>
      <c r="G15" s="9" t="s">
        <v>474</v>
      </c>
      <c r="H15" s="7"/>
      <c r="I15" s="4"/>
      <c r="J15" s="19"/>
      <c r="K15" s="16"/>
    </row>
    <row r="16" spans="1:11" s="290" customFormat="1">
      <c r="A16" s="15" t="s">
        <v>435</v>
      </c>
      <c r="B16" s="4">
        <v>472831</v>
      </c>
      <c r="C16" s="4" t="s">
        <v>444</v>
      </c>
      <c r="D16" s="77">
        <v>886.36</v>
      </c>
      <c r="E16" s="5"/>
      <c r="F16" s="6">
        <f t="shared" si="0"/>
        <v>686845.72000000009</v>
      </c>
      <c r="G16" s="9" t="s">
        <v>177</v>
      </c>
      <c r="H16" s="7" t="s">
        <v>455</v>
      </c>
      <c r="I16" s="4">
        <v>1778191</v>
      </c>
      <c r="J16" s="19"/>
      <c r="K16" s="16" t="s">
        <v>426</v>
      </c>
    </row>
    <row r="17" spans="1:11" s="290" customFormat="1">
      <c r="A17" s="15" t="s">
        <v>435</v>
      </c>
      <c r="B17" s="4">
        <v>17458</v>
      </c>
      <c r="C17" s="4" t="s">
        <v>444</v>
      </c>
      <c r="D17" s="77">
        <v>1624.7</v>
      </c>
      <c r="E17" s="5"/>
      <c r="F17" s="6">
        <f t="shared" si="0"/>
        <v>685221.02000000014</v>
      </c>
      <c r="G17" s="9" t="s">
        <v>449</v>
      </c>
      <c r="H17" s="7" t="s">
        <v>456</v>
      </c>
      <c r="I17" s="4">
        <v>889446037</v>
      </c>
      <c r="J17" s="19"/>
      <c r="K17" s="16" t="s">
        <v>468</v>
      </c>
    </row>
    <row r="18" spans="1:11" s="290" customFormat="1">
      <c r="A18" s="15" t="s">
        <v>436</v>
      </c>
      <c r="B18" s="4">
        <v>104543</v>
      </c>
      <c r="C18" s="4" t="s">
        <v>444</v>
      </c>
      <c r="D18" s="77">
        <v>10792.98</v>
      </c>
      <c r="E18" s="5"/>
      <c r="F18" s="6">
        <f t="shared" si="0"/>
        <v>674428.04000000015</v>
      </c>
      <c r="G18" s="9" t="s">
        <v>475</v>
      </c>
      <c r="H18" s="7" t="s">
        <v>457</v>
      </c>
      <c r="I18" s="4">
        <v>76</v>
      </c>
      <c r="J18" s="19"/>
      <c r="K18" s="16" t="s">
        <v>426</v>
      </c>
    </row>
    <row r="19" spans="1:11" s="290" customFormat="1">
      <c r="A19" s="15" t="s">
        <v>436</v>
      </c>
      <c r="B19" s="4">
        <v>107048</v>
      </c>
      <c r="C19" s="4" t="s">
        <v>444</v>
      </c>
      <c r="D19" s="77">
        <v>7560</v>
      </c>
      <c r="E19" s="5"/>
      <c r="F19" s="6">
        <f t="shared" si="0"/>
        <v>666868.04000000015</v>
      </c>
      <c r="G19" s="9" t="s">
        <v>475</v>
      </c>
      <c r="H19" s="7" t="s">
        <v>302</v>
      </c>
      <c r="I19" s="4">
        <v>155</v>
      </c>
      <c r="J19" s="19"/>
      <c r="K19" s="16" t="s">
        <v>426</v>
      </c>
    </row>
    <row r="20" spans="1:11" s="290" customFormat="1">
      <c r="A20" s="15" t="s">
        <v>436</v>
      </c>
      <c r="B20" s="4">
        <v>105365</v>
      </c>
      <c r="C20" s="4" t="s">
        <v>444</v>
      </c>
      <c r="D20" s="77">
        <v>11000</v>
      </c>
      <c r="E20" s="5"/>
      <c r="F20" s="6">
        <f t="shared" si="0"/>
        <v>655868.04000000015</v>
      </c>
      <c r="G20" s="9" t="s">
        <v>475</v>
      </c>
      <c r="H20" s="7" t="s">
        <v>458</v>
      </c>
      <c r="I20" s="4">
        <v>25</v>
      </c>
      <c r="J20" s="19"/>
      <c r="K20" s="16" t="s">
        <v>425</v>
      </c>
    </row>
    <row r="21" spans="1:11" s="290" customFormat="1">
      <c r="A21" s="15" t="s">
        <v>436</v>
      </c>
      <c r="B21" s="4">
        <v>106235</v>
      </c>
      <c r="C21" s="4" t="s">
        <v>444</v>
      </c>
      <c r="D21" s="77">
        <v>11262</v>
      </c>
      <c r="E21" s="5"/>
      <c r="F21" s="6">
        <f t="shared" si="0"/>
        <v>644606.04000000015</v>
      </c>
      <c r="G21" s="9" t="s">
        <v>475</v>
      </c>
      <c r="H21" s="7" t="s">
        <v>459</v>
      </c>
      <c r="I21" s="4">
        <v>96</v>
      </c>
      <c r="J21" s="19"/>
      <c r="K21" s="16" t="s">
        <v>426</v>
      </c>
    </row>
    <row r="22" spans="1:11" s="290" customFormat="1">
      <c r="A22" s="15" t="s">
        <v>436</v>
      </c>
      <c r="B22" s="4">
        <v>108255</v>
      </c>
      <c r="C22" s="4" t="s">
        <v>444</v>
      </c>
      <c r="D22" s="77">
        <v>11000</v>
      </c>
      <c r="E22" s="5"/>
      <c r="F22" s="6">
        <f t="shared" si="0"/>
        <v>633606.04000000015</v>
      </c>
      <c r="G22" s="9" t="s">
        <v>475</v>
      </c>
      <c r="H22" s="7" t="s">
        <v>361</v>
      </c>
      <c r="I22" s="4">
        <v>72</v>
      </c>
      <c r="J22" s="19"/>
      <c r="K22" s="16" t="s">
        <v>425</v>
      </c>
    </row>
    <row r="23" spans="1:11" s="290" customFormat="1">
      <c r="A23" s="15" t="s">
        <v>436</v>
      </c>
      <c r="B23" s="4">
        <v>103681</v>
      </c>
      <c r="C23" s="4" t="s">
        <v>444</v>
      </c>
      <c r="D23" s="77">
        <v>1013.58</v>
      </c>
      <c r="E23" s="5"/>
      <c r="F23" s="6">
        <f t="shared" si="0"/>
        <v>632592.4600000002</v>
      </c>
      <c r="G23" s="9" t="s">
        <v>475</v>
      </c>
      <c r="H23" s="7" t="s">
        <v>341</v>
      </c>
      <c r="I23" s="4">
        <v>377</v>
      </c>
      <c r="J23" s="19"/>
      <c r="K23" s="16" t="s">
        <v>425</v>
      </c>
    </row>
    <row r="24" spans="1:11" s="290" customFormat="1">
      <c r="A24" s="15" t="s">
        <v>436</v>
      </c>
      <c r="B24" s="4">
        <v>106235</v>
      </c>
      <c r="C24" s="4" t="s">
        <v>444</v>
      </c>
      <c r="D24" s="77">
        <v>3040.7400000000002</v>
      </c>
      <c r="E24" s="5"/>
      <c r="F24" s="6">
        <f t="shared" si="0"/>
        <v>629551.7200000002</v>
      </c>
      <c r="G24" s="9" t="s">
        <v>475</v>
      </c>
      <c r="H24" s="7" t="s">
        <v>459</v>
      </c>
      <c r="I24" s="4">
        <v>97</v>
      </c>
      <c r="J24" s="19"/>
      <c r="K24" s="16" t="s">
        <v>426</v>
      </c>
    </row>
    <row r="25" spans="1:11" s="290" customFormat="1">
      <c r="A25" s="15" t="s">
        <v>436</v>
      </c>
      <c r="B25" s="4">
        <v>109137</v>
      </c>
      <c r="C25" s="4" t="s">
        <v>444</v>
      </c>
      <c r="D25" s="77">
        <v>14717.7</v>
      </c>
      <c r="E25" s="5"/>
      <c r="F25" s="6">
        <f t="shared" si="0"/>
        <v>614834.02000000025</v>
      </c>
      <c r="G25" s="9" t="s">
        <v>475</v>
      </c>
      <c r="H25" s="7" t="s">
        <v>224</v>
      </c>
      <c r="I25" s="4">
        <v>61</v>
      </c>
      <c r="J25" s="19"/>
      <c r="K25" s="16" t="s">
        <v>425</v>
      </c>
    </row>
    <row r="26" spans="1:11" s="290" customFormat="1">
      <c r="A26" s="15" t="s">
        <v>436</v>
      </c>
      <c r="B26" s="4">
        <v>151535</v>
      </c>
      <c r="C26" s="4" t="s">
        <v>444</v>
      </c>
      <c r="D26" s="77">
        <v>2352</v>
      </c>
      <c r="E26" s="5"/>
      <c r="F26" s="6">
        <f t="shared" si="0"/>
        <v>612482.02000000025</v>
      </c>
      <c r="G26" s="9" t="s">
        <v>475</v>
      </c>
      <c r="H26" s="7" t="s">
        <v>223</v>
      </c>
      <c r="I26" s="4">
        <v>668</v>
      </c>
      <c r="J26" s="19"/>
      <c r="K26" s="16" t="s">
        <v>434</v>
      </c>
    </row>
    <row r="27" spans="1:11" s="290" customFormat="1">
      <c r="A27" s="15" t="s">
        <v>437</v>
      </c>
      <c r="B27" s="4">
        <v>151572</v>
      </c>
      <c r="C27" s="4" t="s">
        <v>220</v>
      </c>
      <c r="D27" s="77">
        <v>4173.34</v>
      </c>
      <c r="E27" s="5"/>
      <c r="F27" s="6">
        <f t="shared" si="0"/>
        <v>608308.68000000028</v>
      </c>
      <c r="G27" s="9" t="s">
        <v>220</v>
      </c>
      <c r="H27" s="7"/>
      <c r="I27" s="4"/>
      <c r="J27" s="19"/>
      <c r="K27" s="16"/>
    </row>
    <row r="28" spans="1:11" s="290" customFormat="1">
      <c r="A28" s="15" t="s">
        <v>437</v>
      </c>
      <c r="B28" s="4">
        <v>152223</v>
      </c>
      <c r="C28" s="4" t="s">
        <v>220</v>
      </c>
      <c r="D28" s="77">
        <v>20902.88</v>
      </c>
      <c r="E28" s="5"/>
      <c r="F28" s="6">
        <f t="shared" si="0"/>
        <v>587405.80000000028</v>
      </c>
      <c r="G28" s="9" t="s">
        <v>220</v>
      </c>
      <c r="H28" s="7"/>
      <c r="I28" s="4"/>
      <c r="J28" s="19"/>
      <c r="K28" s="16"/>
    </row>
    <row r="29" spans="1:11" s="290" customFormat="1">
      <c r="A29" s="15" t="s">
        <v>437</v>
      </c>
      <c r="B29" s="4">
        <v>151572</v>
      </c>
      <c r="C29" s="4" t="s">
        <v>232</v>
      </c>
      <c r="D29" s="77"/>
      <c r="E29" s="77">
        <v>4173.34</v>
      </c>
      <c r="F29" s="6">
        <f t="shared" si="0"/>
        <v>591579.14000000025</v>
      </c>
      <c r="G29" s="9" t="s">
        <v>232</v>
      </c>
      <c r="H29" s="7"/>
      <c r="I29" s="4"/>
      <c r="J29" s="19"/>
      <c r="K29" s="16"/>
    </row>
    <row r="30" spans="1:11" s="290" customFormat="1">
      <c r="A30" s="15" t="s">
        <v>437</v>
      </c>
      <c r="B30" s="4">
        <v>150278</v>
      </c>
      <c r="C30" s="4" t="s">
        <v>444</v>
      </c>
      <c r="D30" s="77">
        <v>1943.3</v>
      </c>
      <c r="E30" s="5"/>
      <c r="F30" s="6">
        <f t="shared" si="0"/>
        <v>589635.8400000002</v>
      </c>
      <c r="G30" s="9" t="s">
        <v>475</v>
      </c>
      <c r="H30" s="7" t="s">
        <v>460</v>
      </c>
      <c r="I30" s="4">
        <v>137</v>
      </c>
      <c r="J30" s="19"/>
      <c r="K30" s="16" t="s">
        <v>426</v>
      </c>
    </row>
    <row r="31" spans="1:11" s="290" customFormat="1">
      <c r="A31" s="15" t="s">
        <v>437</v>
      </c>
      <c r="B31" s="4">
        <v>152223</v>
      </c>
      <c r="C31" s="4" t="s">
        <v>232</v>
      </c>
      <c r="D31" s="77"/>
      <c r="E31" s="77">
        <v>20902.88</v>
      </c>
      <c r="F31" s="6">
        <f t="shared" si="0"/>
        <v>610538.7200000002</v>
      </c>
      <c r="G31" s="9" t="s">
        <v>232</v>
      </c>
      <c r="H31" s="7"/>
      <c r="I31" s="4"/>
      <c r="J31" s="19"/>
      <c r="K31" s="16"/>
    </row>
    <row r="32" spans="1:11" s="290" customFormat="1">
      <c r="A32" s="15" t="s">
        <v>438</v>
      </c>
      <c r="B32" s="4">
        <v>468997</v>
      </c>
      <c r="C32" s="4" t="s">
        <v>444</v>
      </c>
      <c r="D32" s="77">
        <v>3824.65</v>
      </c>
      <c r="E32" s="5"/>
      <c r="F32" s="6">
        <f t="shared" si="0"/>
        <v>606714.07000000018</v>
      </c>
      <c r="G32" s="9" t="s">
        <v>450</v>
      </c>
      <c r="H32" s="7" t="s">
        <v>461</v>
      </c>
      <c r="I32" s="4">
        <v>68</v>
      </c>
      <c r="J32" s="19"/>
      <c r="K32" s="16" t="s">
        <v>469</v>
      </c>
    </row>
    <row r="33" spans="1:11" s="290" customFormat="1">
      <c r="A33" s="15" t="s">
        <v>438</v>
      </c>
      <c r="B33" s="4">
        <v>862725</v>
      </c>
      <c r="C33" s="4" t="s">
        <v>444</v>
      </c>
      <c r="D33" s="77">
        <v>10098.710000000001</v>
      </c>
      <c r="E33" s="5"/>
      <c r="F33" s="6">
        <f t="shared" si="0"/>
        <v>596615.36000000022</v>
      </c>
      <c r="G33" s="9" t="s">
        <v>451</v>
      </c>
      <c r="H33" s="7" t="s">
        <v>462</v>
      </c>
      <c r="I33" s="4" t="s">
        <v>471</v>
      </c>
      <c r="J33" s="19"/>
      <c r="K33" s="16" t="s">
        <v>426</v>
      </c>
    </row>
    <row r="34" spans="1:11" s="290" customFormat="1">
      <c r="A34" s="15" t="s">
        <v>438</v>
      </c>
      <c r="B34" s="4">
        <v>117992</v>
      </c>
      <c r="C34" s="4" t="s">
        <v>444</v>
      </c>
      <c r="D34" s="77">
        <v>4173.34</v>
      </c>
      <c r="E34" s="5"/>
      <c r="F34" s="6">
        <f t="shared" si="0"/>
        <v>592442.02000000025</v>
      </c>
      <c r="G34" s="9" t="s">
        <v>475</v>
      </c>
      <c r="H34" s="7" t="s">
        <v>463</v>
      </c>
      <c r="I34" s="4">
        <v>135</v>
      </c>
      <c r="J34" s="19"/>
      <c r="K34" s="16" t="s">
        <v>426</v>
      </c>
    </row>
    <row r="35" spans="1:11" s="290" customFormat="1">
      <c r="A35" s="15" t="s">
        <v>438</v>
      </c>
      <c r="B35" s="4">
        <v>118406</v>
      </c>
      <c r="C35" s="4" t="s">
        <v>444</v>
      </c>
      <c r="D35" s="77">
        <v>20902.88</v>
      </c>
      <c r="E35" s="5"/>
      <c r="F35" s="6">
        <f t="shared" si="0"/>
        <v>571539.14000000025</v>
      </c>
      <c r="G35" s="9" t="s">
        <v>475</v>
      </c>
      <c r="H35" s="7" t="s">
        <v>128</v>
      </c>
      <c r="I35" s="4">
        <v>77</v>
      </c>
      <c r="J35" s="19"/>
      <c r="K35" s="16" t="s">
        <v>425</v>
      </c>
    </row>
    <row r="36" spans="1:11" s="290" customFormat="1">
      <c r="A36" s="15" t="s">
        <v>438</v>
      </c>
      <c r="B36" s="4">
        <v>469290</v>
      </c>
      <c r="C36" s="4" t="s">
        <v>444</v>
      </c>
      <c r="D36" s="77">
        <v>173.41</v>
      </c>
      <c r="E36" s="5"/>
      <c r="F36" s="6">
        <f t="shared" si="0"/>
        <v>571365.73000000021</v>
      </c>
      <c r="G36" s="9" t="s">
        <v>450</v>
      </c>
      <c r="H36" s="7" t="s">
        <v>461</v>
      </c>
      <c r="I36" s="4">
        <v>72</v>
      </c>
      <c r="J36" s="19"/>
      <c r="K36" s="16" t="s">
        <v>469</v>
      </c>
    </row>
    <row r="37" spans="1:11" s="290" customFormat="1">
      <c r="A37" s="15" t="s">
        <v>438</v>
      </c>
      <c r="B37" s="4">
        <v>469197</v>
      </c>
      <c r="C37" s="4" t="s">
        <v>444</v>
      </c>
      <c r="D37" s="77">
        <v>783</v>
      </c>
      <c r="E37" s="5"/>
      <c r="F37" s="6">
        <f t="shared" si="0"/>
        <v>570582.73000000021</v>
      </c>
      <c r="G37" s="9" t="s">
        <v>450</v>
      </c>
      <c r="H37" s="7" t="s">
        <v>461</v>
      </c>
      <c r="I37" s="4">
        <v>148</v>
      </c>
      <c r="J37" s="19"/>
      <c r="K37" s="16" t="s">
        <v>437</v>
      </c>
    </row>
    <row r="38" spans="1:11" s="290" customFormat="1">
      <c r="A38" s="15" t="s">
        <v>438</v>
      </c>
      <c r="B38" s="4">
        <v>614538</v>
      </c>
      <c r="C38" s="4" t="s">
        <v>444</v>
      </c>
      <c r="D38" s="77">
        <v>441.6</v>
      </c>
      <c r="E38" s="5"/>
      <c r="F38" s="6">
        <f t="shared" si="0"/>
        <v>570141.13000000024</v>
      </c>
      <c r="G38" s="9" t="s">
        <v>452</v>
      </c>
      <c r="H38" s="7" t="s">
        <v>464</v>
      </c>
      <c r="I38" s="4">
        <v>1780766</v>
      </c>
      <c r="J38" s="19"/>
      <c r="K38" s="16" t="s">
        <v>425</v>
      </c>
    </row>
    <row r="39" spans="1:11" s="290" customFormat="1">
      <c r="A39" s="15" t="s">
        <v>438</v>
      </c>
      <c r="B39" s="4">
        <v>469096</v>
      </c>
      <c r="C39" s="4" t="s">
        <v>444</v>
      </c>
      <c r="D39" s="77">
        <v>2427.3000000000002</v>
      </c>
      <c r="E39" s="5"/>
      <c r="F39" s="6">
        <f t="shared" si="0"/>
        <v>567713.83000000019</v>
      </c>
      <c r="G39" s="9" t="s">
        <v>453</v>
      </c>
      <c r="H39" s="7" t="s">
        <v>461</v>
      </c>
      <c r="I39" s="4">
        <v>149</v>
      </c>
      <c r="J39" s="19"/>
      <c r="K39" s="16" t="s">
        <v>437</v>
      </c>
    </row>
    <row r="40" spans="1:11" s="290" customFormat="1">
      <c r="A40" s="15" t="s">
        <v>439</v>
      </c>
      <c r="B40" s="4">
        <v>189763</v>
      </c>
      <c r="C40" s="4" t="s">
        <v>444</v>
      </c>
      <c r="D40" s="77">
        <v>2180.4</v>
      </c>
      <c r="E40" s="5"/>
      <c r="F40" s="6">
        <f t="shared" si="0"/>
        <v>565533.43000000017</v>
      </c>
      <c r="G40" s="9" t="s">
        <v>475</v>
      </c>
      <c r="H40" s="7" t="s">
        <v>465</v>
      </c>
      <c r="I40" s="4">
        <v>1180</v>
      </c>
      <c r="J40" s="19"/>
      <c r="K40" s="16" t="s">
        <v>434</v>
      </c>
    </row>
    <row r="41" spans="1:11" s="290" customFormat="1">
      <c r="A41" s="15" t="s">
        <v>440</v>
      </c>
      <c r="B41" s="4">
        <v>123788</v>
      </c>
      <c r="C41" s="4" t="s">
        <v>444</v>
      </c>
      <c r="D41" s="77">
        <v>4605.54</v>
      </c>
      <c r="E41" s="5"/>
      <c r="F41" s="6">
        <f t="shared" si="0"/>
        <v>560927.89000000013</v>
      </c>
      <c r="G41" s="9" t="s">
        <v>475</v>
      </c>
      <c r="H41" s="7" t="s">
        <v>466</v>
      </c>
      <c r="I41" s="4">
        <v>1</v>
      </c>
      <c r="J41" s="19"/>
      <c r="K41" s="16" t="s">
        <v>470</v>
      </c>
    </row>
    <row r="42" spans="1:11" s="290" customFormat="1">
      <c r="A42" s="15" t="s">
        <v>441</v>
      </c>
      <c r="B42" s="4">
        <v>271445</v>
      </c>
      <c r="C42" s="4" t="s">
        <v>446</v>
      </c>
      <c r="D42" s="77">
        <v>20282.330000000002</v>
      </c>
      <c r="E42" s="5"/>
      <c r="F42" s="6">
        <f t="shared" si="0"/>
        <v>540645.56000000017</v>
      </c>
      <c r="G42" s="9" t="s">
        <v>446</v>
      </c>
      <c r="H42" s="7"/>
      <c r="I42" s="4"/>
      <c r="J42" s="19"/>
      <c r="K42" s="16"/>
    </row>
    <row r="43" spans="1:11" s="290" customFormat="1">
      <c r="A43" s="15" t="s">
        <v>442</v>
      </c>
      <c r="B43" s="4">
        <v>309379</v>
      </c>
      <c r="C43" s="4" t="s">
        <v>444</v>
      </c>
      <c r="D43" s="77">
        <v>2350.34</v>
      </c>
      <c r="E43" s="5"/>
      <c r="F43" s="6">
        <f t="shared" si="0"/>
        <v>538295.2200000002</v>
      </c>
      <c r="G43" s="9" t="s">
        <v>271</v>
      </c>
      <c r="H43" s="7" t="s">
        <v>271</v>
      </c>
      <c r="I43" s="4">
        <v>3093792910</v>
      </c>
      <c r="J43" s="19"/>
      <c r="K43" s="16" t="s">
        <v>442</v>
      </c>
    </row>
    <row r="44" spans="1:11" s="290" customFormat="1">
      <c r="A44" s="15" t="s">
        <v>443</v>
      </c>
      <c r="B44" s="4">
        <v>301508</v>
      </c>
      <c r="C44" s="4" t="s">
        <v>447</v>
      </c>
      <c r="D44" s="77">
        <v>9179.31</v>
      </c>
      <c r="E44" s="5"/>
      <c r="F44" s="6">
        <f t="shared" si="0"/>
        <v>529115.91000000015</v>
      </c>
      <c r="G44" s="9" t="s">
        <v>447</v>
      </c>
      <c r="H44" s="7"/>
      <c r="I44" s="4"/>
      <c r="J44" s="19"/>
      <c r="K44" s="16"/>
    </row>
    <row r="45" spans="1:11" s="290" customFormat="1">
      <c r="A45" s="15" t="s">
        <v>443</v>
      </c>
      <c r="B45" s="4">
        <v>140</v>
      </c>
      <c r="C45" s="4" t="s">
        <v>427</v>
      </c>
      <c r="D45" s="77">
        <v>1</v>
      </c>
      <c r="E45" s="5"/>
      <c r="F45" s="6">
        <f t="shared" si="0"/>
        <v>529114.91000000015</v>
      </c>
      <c r="G45" s="9" t="s">
        <v>430</v>
      </c>
      <c r="H45" s="7"/>
      <c r="I45" s="4"/>
      <c r="J45" s="19"/>
      <c r="K45" s="16"/>
    </row>
    <row r="46" spans="1:11" s="290" customFormat="1">
      <c r="A46" s="15" t="s">
        <v>443</v>
      </c>
      <c r="B46" s="4">
        <v>301509</v>
      </c>
      <c r="C46" s="4" t="s">
        <v>448</v>
      </c>
      <c r="D46" s="77"/>
      <c r="E46" s="77">
        <v>135.5</v>
      </c>
      <c r="F46" s="6">
        <f t="shared" si="0"/>
        <v>529250.41000000015</v>
      </c>
      <c r="G46" s="9" t="s">
        <v>234</v>
      </c>
      <c r="H46" s="7"/>
      <c r="I46" s="4"/>
      <c r="J46" s="19"/>
      <c r="K46" s="16"/>
    </row>
    <row r="47" spans="1:11" s="290" customFormat="1">
      <c r="A47" s="15"/>
      <c r="B47" s="4"/>
      <c r="C47" s="4"/>
      <c r="D47" s="77"/>
      <c r="E47" s="77"/>
      <c r="F47" s="6"/>
      <c r="G47" s="9"/>
      <c r="H47" s="7"/>
      <c r="I47" s="4"/>
      <c r="J47" s="19"/>
      <c r="K47" s="16"/>
    </row>
    <row r="48" spans="1:11" ht="15.75" thickBot="1">
      <c r="A48" s="324" t="s">
        <v>12</v>
      </c>
      <c r="B48" s="325"/>
      <c r="C48" s="21"/>
      <c r="D48" s="78">
        <f>SUM(D10:D47)</f>
        <v>291769.05</v>
      </c>
      <c r="E48" s="40">
        <f>SUM(E10:E47)</f>
        <v>821019.46</v>
      </c>
      <c r="F48" s="22">
        <f>F9-D48+E48</f>
        <v>529250.40999999992</v>
      </c>
      <c r="G48" s="10"/>
      <c r="H48" s="18"/>
      <c r="I48" s="17"/>
      <c r="J48" s="20"/>
      <c r="K48" s="25"/>
    </row>
    <row r="49" spans="1:13">
      <c r="A49" s="38" t="s">
        <v>23</v>
      </c>
      <c r="B49" s="3"/>
      <c r="C49" s="3"/>
      <c r="D49" s="75"/>
      <c r="E49" s="3"/>
      <c r="F49" s="3"/>
      <c r="G49" s="3"/>
      <c r="H49" s="3"/>
      <c r="I49" s="3"/>
      <c r="J49" s="2"/>
      <c r="K49" s="24"/>
    </row>
    <row r="50" spans="1:13">
      <c r="A50" s="38"/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3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3" spans="1:13" ht="46.5" customHeight="1">
      <c r="A53" s="299" t="s">
        <v>123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</row>
    <row r="54" spans="1:13" ht="18" customHeight="1"/>
    <row r="55" spans="1:13" ht="18" customHeight="1">
      <c r="A55" s="318" t="s">
        <v>476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</row>
    <row r="56" spans="1:13">
      <c r="A56" s="3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3">
      <c r="A57" s="319" t="s">
        <v>21</v>
      </c>
      <c r="B57" s="320"/>
      <c r="C57" s="320"/>
      <c r="D57" s="320"/>
      <c r="E57" s="321"/>
      <c r="F57" s="3"/>
      <c r="G57" s="322" t="s">
        <v>20</v>
      </c>
      <c r="H57" s="322"/>
      <c r="I57" s="322"/>
      <c r="J57" s="322"/>
      <c r="K57" s="24"/>
    </row>
    <row r="58" spans="1:13">
      <c r="A58" s="28" t="s">
        <v>177</v>
      </c>
      <c r="B58" s="44"/>
      <c r="C58" s="44"/>
      <c r="D58" s="79"/>
      <c r="E58" s="33">
        <f t="shared" ref="E58:E94" si="1">SUMIF($G$8:$G$47,A58,$D$8:$D$47)</f>
        <v>886.36</v>
      </c>
      <c r="F58" s="3"/>
      <c r="G58" s="62" t="s">
        <v>147</v>
      </c>
      <c r="H58" s="26"/>
      <c r="I58" s="306">
        <f>SUMIF($G$8:$G$47,G58,$E$8:$E$47)</f>
        <v>0</v>
      </c>
      <c r="J58" s="307"/>
      <c r="K58" s="24"/>
    </row>
    <row r="59" spans="1:13">
      <c r="A59" s="27" t="s">
        <v>271</v>
      </c>
      <c r="B59" s="63"/>
      <c r="C59" s="63"/>
      <c r="D59" s="80"/>
      <c r="E59" s="29">
        <f t="shared" si="1"/>
        <v>2350.34</v>
      </c>
      <c r="F59" s="3"/>
      <c r="G59" s="316" t="s">
        <v>477</v>
      </c>
      <c r="H59" s="317"/>
      <c r="I59" s="306">
        <f>SUMIF($G$8:$G$47,G59,$E$8:$E$47)</f>
        <v>502513.79</v>
      </c>
      <c r="J59" s="307"/>
      <c r="K59" s="24"/>
    </row>
    <row r="60" spans="1:13">
      <c r="A60" s="27" t="s">
        <v>451</v>
      </c>
      <c r="B60" s="63"/>
      <c r="C60" s="63"/>
      <c r="D60" s="80"/>
      <c r="E60" s="29">
        <f t="shared" si="1"/>
        <v>10098.710000000001</v>
      </c>
      <c r="F60" s="3"/>
      <c r="G60" s="287" t="s">
        <v>234</v>
      </c>
      <c r="H60" s="288"/>
      <c r="I60" s="306">
        <f>SUMIF($G$8:$G$47,G60,$E$8:$E$47)</f>
        <v>135.5</v>
      </c>
      <c r="J60" s="307"/>
      <c r="K60" s="24"/>
      <c r="M60" s="284" t="s">
        <v>344</v>
      </c>
    </row>
    <row r="61" spans="1:13">
      <c r="A61" s="62" t="s">
        <v>450</v>
      </c>
      <c r="B61" s="63"/>
      <c r="C61" s="63"/>
      <c r="D61" s="80"/>
      <c r="E61" s="29">
        <f t="shared" si="1"/>
        <v>4781.0599999999995</v>
      </c>
      <c r="F61" s="3"/>
      <c r="G61" s="62" t="s">
        <v>232</v>
      </c>
      <c r="H61" s="26"/>
      <c r="I61" s="306">
        <f>SUMIF($G$8:$G$47,G61,$E$8:$E$47)</f>
        <v>25076.22</v>
      </c>
      <c r="J61" s="307"/>
      <c r="K61" s="24"/>
      <c r="M61" s="46"/>
    </row>
    <row r="62" spans="1:13">
      <c r="A62" s="27" t="s">
        <v>449</v>
      </c>
      <c r="B62" s="63"/>
      <c r="C62" s="63"/>
      <c r="D62" s="80"/>
      <c r="E62" s="29">
        <f t="shared" si="1"/>
        <v>1624.7</v>
      </c>
      <c r="F62" s="3"/>
      <c r="G62" s="62" t="s">
        <v>474</v>
      </c>
      <c r="H62" s="26"/>
      <c r="I62" s="306">
        <f>SUMIF($G$8:$G$47,G62,$E$8:$E$47)</f>
        <v>293293.95</v>
      </c>
      <c r="J62" s="307"/>
      <c r="K62" s="24"/>
    </row>
    <row r="63" spans="1:13">
      <c r="A63" s="27" t="s">
        <v>452</v>
      </c>
      <c r="B63" s="63"/>
      <c r="C63" s="63"/>
      <c r="D63" s="80"/>
      <c r="E63" s="29">
        <f t="shared" si="1"/>
        <v>441.6</v>
      </c>
      <c r="F63" s="3"/>
      <c r="G63" s="47" t="s">
        <v>22</v>
      </c>
      <c r="H63" s="48"/>
      <c r="I63" s="302">
        <f>SUM(I58:J62)</f>
        <v>821019.46</v>
      </c>
      <c r="J63" s="303"/>
      <c r="K63" s="61">
        <f>E48-I63</f>
        <v>0</v>
      </c>
    </row>
    <row r="64" spans="1:13">
      <c r="A64" s="27" t="s">
        <v>220</v>
      </c>
      <c r="B64" s="63"/>
      <c r="C64" s="63"/>
      <c r="D64" s="80"/>
      <c r="E64" s="29">
        <f t="shared" si="1"/>
        <v>25076.22</v>
      </c>
      <c r="F64" s="3"/>
      <c r="G64" s="70"/>
      <c r="H64" s="45"/>
      <c r="I64" s="69"/>
      <c r="J64" s="71"/>
      <c r="K64" s="24"/>
    </row>
    <row r="65" spans="1:11">
      <c r="A65" s="27" t="s">
        <v>446</v>
      </c>
      <c r="B65" s="63"/>
      <c r="C65" s="63"/>
      <c r="D65" s="80"/>
      <c r="E65" s="29">
        <f t="shared" si="1"/>
        <v>20282.330000000002</v>
      </c>
      <c r="F65" s="3"/>
      <c r="G65" s="36" t="s">
        <v>64</v>
      </c>
      <c r="H65" s="37"/>
      <c r="I65" s="66"/>
      <c r="J65" s="67"/>
    </row>
    <row r="66" spans="1:11">
      <c r="A66" s="27" t="s">
        <v>447</v>
      </c>
      <c r="B66" s="63"/>
      <c r="C66" s="63"/>
      <c r="D66" s="80"/>
      <c r="E66" s="29">
        <f t="shared" si="1"/>
        <v>9179.31</v>
      </c>
      <c r="F66" s="3"/>
      <c r="G66" s="287" t="s">
        <v>19</v>
      </c>
      <c r="H66" s="288"/>
      <c r="I66" s="304">
        <f>'CEF 901925-5 Setembro 2020 '!I38:J38</f>
        <v>503771.31999999995</v>
      </c>
      <c r="J66" s="305"/>
    </row>
    <row r="67" spans="1:11">
      <c r="A67" s="27" t="s">
        <v>272</v>
      </c>
      <c r="B67" s="63"/>
      <c r="C67" s="63"/>
      <c r="D67" s="80"/>
      <c r="E67" s="29">
        <f t="shared" si="1"/>
        <v>513.36</v>
      </c>
      <c r="F67" s="3"/>
      <c r="G67" s="27" t="s">
        <v>149</v>
      </c>
      <c r="H67" s="288"/>
      <c r="I67" s="306">
        <f>SUMIF($G$8:$G$47,G67,$D$8:$D$47)</f>
        <v>0</v>
      </c>
      <c r="J67" s="307"/>
    </row>
    <row r="68" spans="1:11">
      <c r="A68" s="27" t="s">
        <v>453</v>
      </c>
      <c r="B68" s="63"/>
      <c r="C68" s="63"/>
      <c r="D68" s="80"/>
      <c r="E68" s="29">
        <f t="shared" si="1"/>
        <v>2427.3000000000002</v>
      </c>
      <c r="F68" s="3"/>
      <c r="G68" s="316" t="s">
        <v>477</v>
      </c>
      <c r="H68" s="317"/>
      <c r="I68" s="306">
        <f>-SUMIF($G$8:$G$47,G68,$E$8:$E$47)</f>
        <v>-502513.79</v>
      </c>
      <c r="J68" s="307"/>
    </row>
    <row r="69" spans="1:11">
      <c r="A69" s="27" t="s">
        <v>475</v>
      </c>
      <c r="B69" s="63"/>
      <c r="C69" s="63"/>
      <c r="D69" s="80"/>
      <c r="E69" s="29">
        <f t="shared" si="1"/>
        <v>106544.45999999999</v>
      </c>
      <c r="F69" s="3"/>
      <c r="G69" s="287" t="s">
        <v>30</v>
      </c>
      <c r="H69" s="288"/>
      <c r="I69" s="306">
        <v>-1257.53</v>
      </c>
      <c r="J69" s="307"/>
    </row>
    <row r="70" spans="1:11">
      <c r="A70" s="27" t="s">
        <v>473</v>
      </c>
      <c r="B70" s="63"/>
      <c r="C70" s="63"/>
      <c r="D70" s="80"/>
      <c r="E70" s="29">
        <f t="shared" si="1"/>
        <v>95552.88</v>
      </c>
      <c r="F70" s="3"/>
      <c r="G70" s="30"/>
      <c r="H70" s="31"/>
      <c r="I70" s="306"/>
      <c r="J70" s="307"/>
    </row>
    <row r="71" spans="1:11">
      <c r="A71" s="27" t="s">
        <v>430</v>
      </c>
      <c r="B71" s="63"/>
      <c r="C71" s="63"/>
      <c r="D71" s="80"/>
      <c r="E71" s="29">
        <f t="shared" si="1"/>
        <v>1</v>
      </c>
      <c r="F71" s="3"/>
      <c r="G71" s="32" t="s">
        <v>18</v>
      </c>
      <c r="H71" s="31"/>
      <c r="I71" s="310">
        <f>SUM(I66:J70)</f>
        <v>-3.0240698833949864E-11</v>
      </c>
      <c r="J71" s="311"/>
    </row>
    <row r="72" spans="1:11">
      <c r="A72" s="27" t="s">
        <v>472</v>
      </c>
      <c r="B72" s="41"/>
      <c r="C72" s="41"/>
      <c r="D72" s="80"/>
      <c r="E72" s="29">
        <f t="shared" si="1"/>
        <v>12009.42</v>
      </c>
      <c r="F72" s="3"/>
      <c r="G72" s="49"/>
      <c r="H72" s="41"/>
      <c r="I72" s="41"/>
      <c r="J72" s="286"/>
      <c r="K72" s="24"/>
    </row>
    <row r="73" spans="1:11">
      <c r="A73" s="27"/>
      <c r="B73" s="63"/>
      <c r="C73" s="63"/>
      <c r="D73" s="80"/>
      <c r="E73" s="29">
        <f t="shared" si="1"/>
        <v>0</v>
      </c>
      <c r="F73" s="3"/>
      <c r="G73" s="53" t="s">
        <v>62</v>
      </c>
      <c r="H73" s="54"/>
      <c r="I73" s="312"/>
      <c r="J73" s="313"/>
      <c r="K73" s="24"/>
    </row>
    <row r="74" spans="1:11">
      <c r="A74" s="27"/>
      <c r="B74" s="63"/>
      <c r="C74" s="63"/>
      <c r="D74" s="80"/>
      <c r="E74" s="29">
        <f t="shared" si="1"/>
        <v>0</v>
      </c>
      <c r="F74" s="3"/>
      <c r="G74" s="57" t="s">
        <v>19</v>
      </c>
      <c r="H74" s="58"/>
      <c r="I74" s="304">
        <f>'CEF Março 2019'!I88:J88</f>
        <v>0</v>
      </c>
      <c r="J74" s="305"/>
      <c r="K74" s="24"/>
    </row>
    <row r="75" spans="1:11">
      <c r="A75" s="62"/>
      <c r="B75" s="63"/>
      <c r="C75" s="63"/>
      <c r="D75" s="80"/>
      <c r="E75" s="29">
        <f t="shared" si="1"/>
        <v>0</v>
      </c>
      <c r="F75" s="3"/>
      <c r="G75" s="27" t="s">
        <v>48</v>
      </c>
      <c r="H75" s="288"/>
      <c r="I75" s="306">
        <f>SUMIF($G$8:$G$47,G75,$E$8:$E$47)</f>
        <v>0</v>
      </c>
      <c r="J75" s="307"/>
      <c r="K75" s="24"/>
    </row>
    <row r="76" spans="1:11">
      <c r="A76" s="27"/>
      <c r="B76" s="63"/>
      <c r="C76" s="63"/>
      <c r="D76" s="80"/>
      <c r="E76" s="29">
        <f t="shared" si="1"/>
        <v>0</v>
      </c>
      <c r="F76" s="3"/>
      <c r="G76" s="287" t="s">
        <v>14</v>
      </c>
      <c r="H76" s="288"/>
      <c r="I76" s="306">
        <f>-SUMIF($G$8:$G$47,G76,$D$8:$D$47)</f>
        <v>0</v>
      </c>
      <c r="J76" s="307"/>
      <c r="K76" s="24"/>
    </row>
    <row r="77" spans="1:11">
      <c r="A77" s="27"/>
      <c r="B77" s="63"/>
      <c r="C77" s="63"/>
      <c r="D77" s="80"/>
      <c r="E77" s="29">
        <f t="shared" si="1"/>
        <v>0</v>
      </c>
      <c r="F77" s="3"/>
      <c r="G77" s="30"/>
      <c r="H77" s="31"/>
      <c r="I77" s="314"/>
      <c r="J77" s="315"/>
      <c r="K77" s="24"/>
    </row>
    <row r="78" spans="1:11">
      <c r="A78" s="27"/>
      <c r="B78" s="63"/>
      <c r="C78" s="63"/>
      <c r="D78" s="80"/>
      <c r="E78" s="29">
        <f t="shared" si="1"/>
        <v>0</v>
      </c>
      <c r="F78" s="3"/>
      <c r="G78" s="32" t="s">
        <v>17</v>
      </c>
      <c r="H78" s="31"/>
      <c r="I78" s="302">
        <f>SUM(I74:J77)</f>
        <v>0</v>
      </c>
      <c r="J78" s="303"/>
      <c r="K78" s="24"/>
    </row>
    <row r="79" spans="1:11">
      <c r="A79" s="27"/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286"/>
      <c r="K79" s="24"/>
    </row>
    <row r="80" spans="1:11">
      <c r="A80" s="27"/>
      <c r="B80" s="63"/>
      <c r="C80" s="63"/>
      <c r="D80" s="80"/>
      <c r="E80" s="29">
        <f t="shared" si="1"/>
        <v>0</v>
      </c>
      <c r="F80" s="3"/>
      <c r="G80" s="36" t="s">
        <v>16</v>
      </c>
      <c r="H80" s="37"/>
      <c r="I80" s="66"/>
      <c r="J80" s="67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287" t="s">
        <v>19</v>
      </c>
      <c r="H81" s="288"/>
      <c r="I81" s="308">
        <f>'CEF 901925-5 Setembro 2020 '!I52:J52</f>
        <v>62677.369999999006</v>
      </c>
      <c r="J81" s="309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287" t="s">
        <v>409</v>
      </c>
      <c r="H82" s="288"/>
      <c r="I82" s="291">
        <f>249997.75+16000+16408.72+10986.48</f>
        <v>293392.94999999995</v>
      </c>
      <c r="J82" s="292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287" t="s">
        <v>478</v>
      </c>
      <c r="H83" s="288"/>
      <c r="I83" s="306">
        <v>-293293.95</v>
      </c>
      <c r="J83" s="307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30"/>
      <c r="H84" s="31"/>
      <c r="I84" s="300"/>
      <c r="J84" s="301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2" t="s">
        <v>18</v>
      </c>
      <c r="H85" s="31"/>
      <c r="I85" s="310">
        <f>SUM(I81:J84)</f>
        <v>62776.369999998948</v>
      </c>
      <c r="J85" s="311"/>
      <c r="K85" s="24"/>
      <c r="M85" s="39"/>
    </row>
    <row r="86" spans="1:13">
      <c r="A86" s="27"/>
      <c r="B86" s="63"/>
      <c r="C86" s="63"/>
      <c r="D86" s="80"/>
      <c r="E86" s="29">
        <f t="shared" si="1"/>
        <v>0</v>
      </c>
      <c r="F86" s="3"/>
      <c r="G86" s="27"/>
      <c r="H86" s="26"/>
      <c r="I86" s="26"/>
      <c r="J86" s="42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53" t="s">
        <v>39</v>
      </c>
      <c r="H87" s="54"/>
      <c r="I87" s="54"/>
      <c r="J87" s="55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28" t="s">
        <v>40</v>
      </c>
      <c r="H88" s="34"/>
      <c r="I88" s="304">
        <f>'CEF 901925-5 Setembro 2020 '!I59:J59</f>
        <v>20282.330000000002</v>
      </c>
      <c r="J88" s="305"/>
      <c r="K88" s="24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 t="s">
        <v>479</v>
      </c>
      <c r="H89" s="41"/>
      <c r="I89" s="306"/>
      <c r="J89" s="307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/>
      <c r="H90" s="56"/>
      <c r="I90" s="306"/>
      <c r="J90" s="307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59" t="s">
        <v>446</v>
      </c>
      <c r="H91" s="60"/>
      <c r="I91" s="300">
        <f>-SUMIF($G$8:$G$47,G91,$D$8:$D$47)</f>
        <v>-20282.330000000002</v>
      </c>
      <c r="J91" s="301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47" t="s">
        <v>17</v>
      </c>
      <c r="H92" s="48"/>
      <c r="I92" s="302">
        <f>SUM(I88:J91)</f>
        <v>0</v>
      </c>
      <c r="J92" s="303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8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0" t="s">
        <v>41</v>
      </c>
      <c r="H94" s="51"/>
      <c r="I94" s="51"/>
      <c r="J94" s="52"/>
      <c r="K94" s="24"/>
    </row>
    <row r="95" spans="1:13">
      <c r="A95" s="30"/>
      <c r="B95" s="85"/>
      <c r="C95" s="85"/>
      <c r="D95" s="86"/>
      <c r="E95" s="87"/>
      <c r="F95" s="3"/>
      <c r="G95" s="27" t="s">
        <v>480</v>
      </c>
      <c r="H95" s="288"/>
      <c r="I95" s="291">
        <v>31330.82</v>
      </c>
      <c r="J95" s="292"/>
      <c r="K95" s="24"/>
    </row>
    <row r="96" spans="1:13">
      <c r="A96" s="297" t="s">
        <v>22</v>
      </c>
      <c r="B96" s="298"/>
      <c r="C96" s="298"/>
      <c r="D96" s="81"/>
      <c r="E96" s="35">
        <f>SUM(E58:E94)</f>
        <v>291769.05</v>
      </c>
      <c r="F96" s="3"/>
      <c r="G96" s="89" t="s">
        <v>18</v>
      </c>
      <c r="H96" s="88"/>
      <c r="I96" s="302">
        <f>SUM(I95)</f>
        <v>31330.82</v>
      </c>
      <c r="J96" s="303"/>
      <c r="K96" s="24"/>
    </row>
    <row r="97" spans="1:11">
      <c r="A97" s="27"/>
      <c r="B97" s="63"/>
      <c r="C97" s="63"/>
      <c r="D97" s="80"/>
      <c r="K97" s="24"/>
    </row>
    <row r="98" spans="1:11">
      <c r="A98" s="27"/>
      <c r="B98" s="63"/>
      <c r="C98" s="63"/>
      <c r="D98" s="80"/>
      <c r="E98" s="46">
        <f>D48-E96</f>
        <v>0</v>
      </c>
      <c r="G98" s="45"/>
      <c r="H98" s="45"/>
      <c r="I98" s="69"/>
      <c r="J98" s="69"/>
      <c r="K98" s="24"/>
    </row>
    <row r="99" spans="1:11">
      <c r="D99" s="284"/>
      <c r="F99" s="3"/>
      <c r="G99" s="45"/>
      <c r="H99" s="45"/>
      <c r="I99" s="69"/>
      <c r="J99" s="69"/>
      <c r="K99" s="24"/>
    </row>
    <row r="101" spans="1:11">
      <c r="E101" s="46"/>
    </row>
    <row r="102" spans="1:11">
      <c r="E102" s="46"/>
    </row>
    <row r="105" spans="1:11">
      <c r="E105" s="46"/>
    </row>
  </sheetData>
  <sortState ref="A58:E94">
    <sortCondition ref="A58"/>
  </sortState>
  <mergeCells count="42">
    <mergeCell ref="A53:K53"/>
    <mergeCell ref="A2:K2"/>
    <mergeCell ref="A4:K4"/>
    <mergeCell ref="A6:F6"/>
    <mergeCell ref="G6:K6"/>
    <mergeCell ref="A48:B48"/>
    <mergeCell ref="A55:K55"/>
    <mergeCell ref="A57:E57"/>
    <mergeCell ref="G57:J57"/>
    <mergeCell ref="I58:J58"/>
    <mergeCell ref="G59:H59"/>
    <mergeCell ref="I59:J59"/>
    <mergeCell ref="I73:J73"/>
    <mergeCell ref="I60:J60"/>
    <mergeCell ref="I61:J61"/>
    <mergeCell ref="I62:J62"/>
    <mergeCell ref="I63:J63"/>
    <mergeCell ref="I66:J66"/>
    <mergeCell ref="I67:J67"/>
    <mergeCell ref="G68:H68"/>
    <mergeCell ref="I68:J68"/>
    <mergeCell ref="I69:J69"/>
    <mergeCell ref="I70:J70"/>
    <mergeCell ref="I71:J71"/>
    <mergeCell ref="I89:J89"/>
    <mergeCell ref="I74:J74"/>
    <mergeCell ref="I75:J75"/>
    <mergeCell ref="I76:J76"/>
    <mergeCell ref="I77:J77"/>
    <mergeCell ref="I78:J78"/>
    <mergeCell ref="I81:J81"/>
    <mergeCell ref="I82:J82"/>
    <mergeCell ref="I83:J83"/>
    <mergeCell ref="I84:J84"/>
    <mergeCell ref="I85:J85"/>
    <mergeCell ref="I88:J88"/>
    <mergeCell ref="I90:J90"/>
    <mergeCell ref="I91:J91"/>
    <mergeCell ref="I92:J92"/>
    <mergeCell ref="I95:J95"/>
    <mergeCell ref="A96:C96"/>
    <mergeCell ref="I96:J9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73"/>
  <sheetViews>
    <sheetView topLeftCell="A3" workbookViewId="0">
      <selection activeCell="I65" sqref="I65:J65"/>
    </sheetView>
  </sheetViews>
  <sheetFormatPr defaultRowHeight="15"/>
  <cols>
    <col min="1" max="1" width="28.140625" style="284" customWidth="1"/>
    <col min="2" max="2" width="17.7109375" style="284" customWidth="1"/>
    <col min="3" max="3" width="17.140625" style="284" customWidth="1"/>
    <col min="4" max="4" width="16.85546875" style="284" customWidth="1"/>
    <col min="5" max="5" width="17.85546875" style="284" customWidth="1"/>
    <col min="6" max="6" width="19.140625" style="284" customWidth="1"/>
    <col min="7" max="7" width="9.5703125" style="284" bestFit="1" customWidth="1"/>
    <col min="8" max="8" width="14.28515625" style="284" bestFit="1" customWidth="1"/>
    <col min="9" max="9" width="14.7109375" style="284" customWidth="1"/>
    <col min="10" max="10" width="11.5703125" style="284" bestFit="1" customWidth="1"/>
    <col min="11" max="11" width="9.140625" style="284"/>
    <col min="12" max="12" width="11.7109375" style="284" bestFit="1" customWidth="1"/>
    <col min="13" max="13" width="10.140625" style="284" bestFit="1" customWidth="1"/>
    <col min="14" max="16384" width="9.140625" style="284"/>
  </cols>
  <sheetData>
    <row r="1" spans="1:10" ht="15.75" thickBot="1"/>
    <row r="2" spans="1:10" ht="15.75" thickBot="1">
      <c r="A2" s="184" t="s">
        <v>251</v>
      </c>
      <c r="B2" s="250">
        <v>476987.79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-727.51</v>
      </c>
      <c r="C5" s="41"/>
      <c r="D5" s="144"/>
      <c r="E5" s="41"/>
      <c r="F5" s="41"/>
    </row>
    <row r="6" spans="1:10" ht="15.75" thickBot="1">
      <c r="A6" s="177"/>
      <c r="B6" s="255">
        <f>SUM(B2:B5)</f>
        <v>769653.23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769752.23</v>
      </c>
      <c r="C9" s="165"/>
      <c r="D9" s="144"/>
      <c r="E9" s="185"/>
      <c r="F9" s="41"/>
    </row>
    <row r="10" spans="1:10" ht="15.75" thickBot="1"/>
    <row r="11" spans="1:10" ht="112.5" customHeight="1">
      <c r="A11" s="326" t="s">
        <v>242</v>
      </c>
      <c r="B11" s="326" t="s">
        <v>243</v>
      </c>
      <c r="C11" s="130" t="s">
        <v>244</v>
      </c>
      <c r="D11" s="130" t="s">
        <v>246</v>
      </c>
      <c r="E11" s="130" t="s">
        <v>248</v>
      </c>
      <c r="F11" s="326" t="s">
        <v>250</v>
      </c>
      <c r="J11" s="284" t="s">
        <v>399</v>
      </c>
    </row>
    <row r="12" spans="1:10" ht="67.5" customHeight="1" thickBot="1">
      <c r="A12" s="328"/>
      <c r="B12" s="328"/>
      <c r="C12" s="133" t="s">
        <v>245</v>
      </c>
      <c r="D12" s="133" t="s">
        <v>247</v>
      </c>
      <c r="E12" s="133" t="s">
        <v>249</v>
      </c>
      <c r="F12" s="328"/>
    </row>
    <row r="13" spans="1:10" ht="24.95" customHeight="1" thickBot="1">
      <c r="A13" s="118" t="s">
        <v>211</v>
      </c>
      <c r="B13" s="257">
        <f>162337.66</f>
        <v>162337.66</v>
      </c>
      <c r="C13" s="258">
        <f>D38+D39+D41+D42+D43+D49+D53+D59+D55+D48+D51</f>
        <v>132539.46</v>
      </c>
      <c r="D13" s="115"/>
      <c r="E13" s="260">
        <f t="shared" ref="E13:E29" si="0">C13+D13</f>
        <v>132539.46</v>
      </c>
      <c r="F13" s="261">
        <f>12009.42+116.4+95552.88+19352.52+422930.23+8531.51+886.36+954.96+9179.31</f>
        <v>569513.59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111420</f>
        <v>111420</v>
      </c>
      <c r="C19" s="258">
        <f>D44+D45+D56+D54</f>
        <v>113174.02</v>
      </c>
      <c r="D19" s="115"/>
      <c r="E19" s="260">
        <f t="shared" si="0"/>
        <v>113174.02</v>
      </c>
      <c r="F19" s="261">
        <f>2427.3+1624.7+111300</f>
        <v>115352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135</v>
      </c>
      <c r="C27" s="151"/>
      <c r="D27" s="258">
        <f>D57</f>
        <v>135.5</v>
      </c>
      <c r="E27" s="260">
        <f t="shared" si="0"/>
        <v>135.5</v>
      </c>
      <c r="F27" s="115"/>
    </row>
    <row r="28" spans="1:10" ht="24.95" customHeight="1" thickBot="1">
      <c r="A28" s="114" t="s">
        <v>196</v>
      </c>
      <c r="B28" s="259">
        <v>20282.330000000002</v>
      </c>
      <c r="C28" s="259">
        <f>D52</f>
        <v>20131.93</v>
      </c>
      <c r="D28" s="111"/>
      <c r="E28" s="260">
        <f>C28+D28</f>
        <v>20131.93</v>
      </c>
      <c r="F28" s="262">
        <f>20282.33</f>
        <v>20282.330000000002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294174.99000000005</v>
      </c>
      <c r="C30" s="152">
        <f>SUM(C13:C29)</f>
        <v>265845.40999999997</v>
      </c>
      <c r="D30" s="152">
        <f>SUM(D13:D29)</f>
        <v>135.5</v>
      </c>
      <c r="E30" s="152">
        <f>SUM(E13:E29)</f>
        <v>265980.90999999997</v>
      </c>
      <c r="F30" s="152">
        <f>SUM(F13:F29)</f>
        <v>705147.91999999993</v>
      </c>
      <c r="H30" s="244">
        <f>2408719.89-1703571.97</f>
        <v>705147.92000000016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233</v>
      </c>
      <c r="B33" s="266"/>
      <c r="C33" s="266"/>
      <c r="D33" s="182">
        <v>0</v>
      </c>
    </row>
    <row r="34" spans="1:5">
      <c r="A34" s="27" t="s">
        <v>149</v>
      </c>
      <c r="B34" s="266"/>
      <c r="C34" s="266"/>
      <c r="D34" s="182"/>
      <c r="E34" s="182">
        <v>197839.96</v>
      </c>
    </row>
    <row r="35" spans="1:5">
      <c r="A35" s="62" t="s">
        <v>368</v>
      </c>
      <c r="B35" s="266"/>
      <c r="C35" s="266"/>
      <c r="D35" s="182">
        <v>0</v>
      </c>
    </row>
    <row r="36" spans="1:5">
      <c r="A36" s="27" t="s">
        <v>177</v>
      </c>
      <c r="B36" s="266"/>
      <c r="C36" s="266"/>
      <c r="D36" s="182">
        <v>0</v>
      </c>
    </row>
    <row r="37" spans="1:5">
      <c r="A37" s="27" t="s">
        <v>255</v>
      </c>
      <c r="B37" s="266"/>
      <c r="C37" s="266"/>
      <c r="D37" s="182">
        <v>0</v>
      </c>
    </row>
    <row r="38" spans="1:5">
      <c r="A38" s="27" t="s">
        <v>175</v>
      </c>
      <c r="B38" s="266"/>
      <c r="C38" s="266"/>
      <c r="D38" s="182">
        <v>11726.960000000001</v>
      </c>
    </row>
    <row r="39" spans="1:5">
      <c r="A39" s="27" t="s">
        <v>271</v>
      </c>
      <c r="B39" s="266"/>
      <c r="C39" s="266"/>
      <c r="D39" s="182">
        <v>0</v>
      </c>
    </row>
    <row r="40" spans="1:5">
      <c r="A40" s="27" t="s">
        <v>25</v>
      </c>
      <c r="B40" s="266"/>
      <c r="C40" s="266"/>
      <c r="D40" s="182">
        <v>0</v>
      </c>
    </row>
    <row r="41" spans="1:5">
      <c r="A41" s="27" t="s">
        <v>270</v>
      </c>
      <c r="B41" s="266"/>
      <c r="C41" s="266"/>
      <c r="D41" s="182">
        <v>95030.73</v>
      </c>
    </row>
    <row r="42" spans="1:5">
      <c r="A42" s="27" t="s">
        <v>29</v>
      </c>
      <c r="B42" s="266"/>
      <c r="C42" s="266"/>
      <c r="D42" s="182">
        <v>10195.51</v>
      </c>
    </row>
    <row r="43" spans="1:5">
      <c r="A43" s="27" t="s">
        <v>282</v>
      </c>
      <c r="B43" s="266"/>
      <c r="C43" s="266"/>
      <c r="D43" s="182">
        <v>3505.34</v>
      </c>
    </row>
    <row r="44" spans="1:5">
      <c r="A44" s="27" t="s">
        <v>273</v>
      </c>
      <c r="B44" s="266"/>
      <c r="C44" s="266"/>
      <c r="D44" s="182">
        <v>702</v>
      </c>
    </row>
    <row r="45" spans="1:5">
      <c r="A45" s="27" t="s">
        <v>218</v>
      </c>
      <c r="B45" s="266"/>
      <c r="C45" s="266"/>
      <c r="D45" s="182">
        <v>1667.22</v>
      </c>
    </row>
    <row r="46" spans="1:5">
      <c r="A46" s="27" t="s">
        <v>379</v>
      </c>
      <c r="B46" s="266"/>
      <c r="C46" s="266"/>
      <c r="D46" s="182">
        <v>0</v>
      </c>
    </row>
    <row r="47" spans="1:5">
      <c r="A47" s="27" t="s">
        <v>231</v>
      </c>
      <c r="B47" s="266"/>
      <c r="C47" s="266"/>
      <c r="D47" s="182">
        <v>0</v>
      </c>
    </row>
    <row r="48" spans="1:5">
      <c r="A48" s="27" t="s">
        <v>28</v>
      </c>
      <c r="B48" s="266"/>
      <c r="C48" s="266"/>
      <c r="D48" s="182">
        <v>8.9</v>
      </c>
    </row>
    <row r="49" spans="1:6">
      <c r="A49" s="27" t="s">
        <v>150</v>
      </c>
      <c r="B49" s="266"/>
      <c r="C49" s="266"/>
      <c r="D49" s="182">
        <v>441.6</v>
      </c>
    </row>
    <row r="50" spans="1:6">
      <c r="A50" s="27" t="s">
        <v>220</v>
      </c>
      <c r="B50" s="266"/>
      <c r="C50" s="266"/>
      <c r="D50" s="182"/>
      <c r="E50" s="182">
        <v>33476.539999999994</v>
      </c>
    </row>
    <row r="51" spans="1:6">
      <c r="A51" s="27" t="s">
        <v>151</v>
      </c>
      <c r="B51" s="266"/>
      <c r="C51" s="266"/>
      <c r="D51" s="29">
        <v>9056.9500000000007</v>
      </c>
      <c r="E51" s="165"/>
    </row>
    <row r="52" spans="1:6">
      <c r="A52" s="27" t="s">
        <v>176</v>
      </c>
      <c r="B52" s="266"/>
      <c r="C52" s="266"/>
      <c r="D52" s="182">
        <v>20131.93</v>
      </c>
    </row>
    <row r="53" spans="1:6">
      <c r="A53" s="27" t="s">
        <v>272</v>
      </c>
      <c r="B53" s="266"/>
      <c r="C53" s="266"/>
      <c r="D53" s="182">
        <v>513.36</v>
      </c>
    </row>
    <row r="54" spans="1:6">
      <c r="A54" s="27" t="s">
        <v>43</v>
      </c>
      <c r="B54" s="266"/>
      <c r="C54" s="266"/>
      <c r="D54" s="182">
        <v>2176.1999999999998</v>
      </c>
    </row>
    <row r="55" spans="1:6">
      <c r="A55" s="27" t="s">
        <v>179</v>
      </c>
      <c r="B55" s="266"/>
      <c r="C55" s="266"/>
      <c r="D55" s="182">
        <v>2060.11</v>
      </c>
    </row>
    <row r="56" spans="1:6">
      <c r="A56" s="27" t="s">
        <v>34</v>
      </c>
      <c r="B56" s="266"/>
      <c r="C56" s="266"/>
      <c r="D56" s="182">
        <v>108628.6</v>
      </c>
    </row>
    <row r="57" spans="1:6">
      <c r="A57" s="27" t="s">
        <v>72</v>
      </c>
      <c r="B57" s="266"/>
      <c r="C57" s="266"/>
      <c r="D57" s="182">
        <v>135.5</v>
      </c>
    </row>
    <row r="58" spans="1:6">
      <c r="A58" s="27" t="s">
        <v>307</v>
      </c>
      <c r="B58" s="266"/>
      <c r="C58" s="266"/>
      <c r="D58" s="182">
        <v>0</v>
      </c>
    </row>
    <row r="59" spans="1:6">
      <c r="A59" s="27" t="s">
        <v>120</v>
      </c>
      <c r="B59" s="266"/>
      <c r="C59" s="266"/>
      <c r="D59" s="182">
        <v>0</v>
      </c>
    </row>
    <row r="60" spans="1:6">
      <c r="A60" s="266"/>
      <c r="B60" s="266"/>
      <c r="C60" s="266"/>
      <c r="D60" s="182"/>
    </row>
    <row r="61" spans="1:6">
      <c r="A61" s="335" t="s">
        <v>194</v>
      </c>
      <c r="B61" s="336"/>
      <c r="C61" s="294"/>
      <c r="D61" s="267">
        <f>SUM(D33:D59)</f>
        <v>265980.90999999997</v>
      </c>
      <c r="E61" s="267">
        <f>SUM(E33:E59)</f>
        <v>231316.5</v>
      </c>
      <c r="F61" s="46">
        <f>D61+E61</f>
        <v>497297.41</v>
      </c>
    </row>
    <row r="62" spans="1:6">
      <c r="F62" s="46">
        <f ca="1">F61-'CEF 1925-8 Outubro 2020'!E31</f>
        <v>203904.45999999996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769752.23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265980.90999999997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503771.32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503771.32</v>
      </c>
      <c r="C68" s="92"/>
      <c r="D68" s="92"/>
      <c r="E68" s="46"/>
    </row>
    <row r="71" spans="1:5">
      <c r="E71" s="46"/>
    </row>
    <row r="73" spans="1:5">
      <c r="A73" s="28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workbookViewId="0">
      <selection activeCell="I65" sqref="I65:J65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170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175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147</v>
      </c>
      <c r="H12" s="7"/>
      <c r="I12" s="4"/>
      <c r="J12" s="19"/>
      <c r="K12" s="16"/>
    </row>
    <row r="13" spans="1:11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147</v>
      </c>
      <c r="H13" s="7"/>
      <c r="I13" s="4"/>
      <c r="J13" s="19"/>
      <c r="K13" s="16"/>
    </row>
    <row r="14" spans="1:11">
      <c r="A14" s="15">
        <v>43348</v>
      </c>
      <c r="B14" s="4">
        <v>82018</v>
      </c>
      <c r="C14" s="4" t="s">
        <v>188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145</v>
      </c>
      <c r="H15" s="7"/>
      <c r="I15" s="4"/>
      <c r="J15" s="19"/>
      <c r="K15" s="16"/>
    </row>
    <row r="16" spans="1:11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149</v>
      </c>
      <c r="H16" s="7"/>
      <c r="I16" s="4"/>
      <c r="J16" s="19"/>
      <c r="K16" s="16"/>
    </row>
    <row r="17" spans="1:11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145</v>
      </c>
      <c r="H17" s="7"/>
      <c r="I17" s="4"/>
      <c r="J17" s="19"/>
      <c r="K17" s="16"/>
    </row>
    <row r="18" spans="1:11">
      <c r="A18" s="15">
        <v>43349</v>
      </c>
      <c r="B18" s="4">
        <v>309379</v>
      </c>
      <c r="C18" s="4" t="s">
        <v>172</v>
      </c>
      <c r="D18" s="77">
        <v>91975.37</v>
      </c>
      <c r="E18" s="5"/>
      <c r="F18" s="6">
        <f t="shared" si="0"/>
        <v>0</v>
      </c>
      <c r="G18" s="9" t="s">
        <v>148</v>
      </c>
      <c r="H18" s="7"/>
      <c r="I18" s="4"/>
      <c r="J18" s="19"/>
      <c r="K18" s="16"/>
    </row>
    <row r="19" spans="1:11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174</v>
      </c>
      <c r="H19" s="7" t="s">
        <v>128</v>
      </c>
      <c r="I19" s="4">
        <v>19</v>
      </c>
      <c r="J19" s="19">
        <v>6</v>
      </c>
      <c r="K19" s="16">
        <v>43354</v>
      </c>
    </row>
    <row r="20" spans="1:11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174</v>
      </c>
      <c r="H20" s="7" t="s">
        <v>183</v>
      </c>
      <c r="I20" s="4">
        <v>5</v>
      </c>
      <c r="J20" s="19">
        <v>3</v>
      </c>
      <c r="K20" s="16">
        <v>43356</v>
      </c>
    </row>
    <row r="21" spans="1:11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174</v>
      </c>
      <c r="H21" s="7" t="s">
        <v>119</v>
      </c>
      <c r="I21" s="4">
        <v>8</v>
      </c>
      <c r="J21" s="19">
        <v>6</v>
      </c>
      <c r="K21" s="16">
        <v>43353</v>
      </c>
    </row>
    <row r="22" spans="1:11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174</v>
      </c>
      <c r="H22" s="7" t="s">
        <v>127</v>
      </c>
      <c r="I22" s="4">
        <v>49</v>
      </c>
      <c r="J22" s="19">
        <v>6</v>
      </c>
      <c r="K22" s="16">
        <v>43355</v>
      </c>
    </row>
    <row r="23" spans="1:11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174</v>
      </c>
      <c r="H23" s="7" t="s">
        <v>61</v>
      </c>
      <c r="I23" s="4">
        <v>14</v>
      </c>
      <c r="J23" s="19">
        <v>6</v>
      </c>
      <c r="K23" s="16">
        <v>43354</v>
      </c>
    </row>
    <row r="24" spans="1:11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43361</v>
      </c>
      <c r="B25" s="4">
        <v>244368</v>
      </c>
      <c r="C25" s="4" t="s">
        <v>173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182</v>
      </c>
      <c r="I25" s="4">
        <v>351</v>
      </c>
      <c r="J25" s="19">
        <v>4</v>
      </c>
      <c r="K25" s="16">
        <v>43355</v>
      </c>
    </row>
    <row r="26" spans="1:11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174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145</v>
      </c>
      <c r="H28" s="7"/>
      <c r="I28" s="4"/>
      <c r="J28" s="19"/>
      <c r="K28" s="16"/>
    </row>
    <row r="29" spans="1:11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174</v>
      </c>
      <c r="H29" s="7" t="s">
        <v>180</v>
      </c>
      <c r="I29" s="4">
        <v>22</v>
      </c>
      <c r="J29" s="19">
        <v>4</v>
      </c>
      <c r="K29" s="16">
        <v>43355</v>
      </c>
    </row>
    <row r="30" spans="1:11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145</v>
      </c>
      <c r="H32" s="7"/>
      <c r="I32" s="4"/>
      <c r="J32" s="19"/>
      <c r="K32" s="16"/>
    </row>
    <row r="33" spans="1:11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150</v>
      </c>
      <c r="H34" s="7" t="s">
        <v>161</v>
      </c>
      <c r="I34" s="4">
        <v>1</v>
      </c>
      <c r="J34" s="19">
        <v>1</v>
      </c>
      <c r="K34" s="16"/>
    </row>
    <row r="35" spans="1:11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160</v>
      </c>
      <c r="I35" s="4">
        <v>1</v>
      </c>
      <c r="J35" s="19">
        <v>1</v>
      </c>
      <c r="K35" s="16"/>
    </row>
    <row r="36" spans="1:11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174</v>
      </c>
      <c r="H36" s="7" t="s">
        <v>189</v>
      </c>
      <c r="I36" s="4">
        <v>1</v>
      </c>
      <c r="J36" s="19">
        <v>1</v>
      </c>
      <c r="K36" s="16">
        <v>43362</v>
      </c>
    </row>
    <row r="37" spans="1:11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176</v>
      </c>
      <c r="H38" s="7"/>
      <c r="I38" s="4"/>
      <c r="J38" s="19"/>
      <c r="K38" s="16"/>
    </row>
    <row r="39" spans="1:11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174</v>
      </c>
      <c r="H39" s="7" t="s">
        <v>184</v>
      </c>
      <c r="I39" s="4">
        <v>6</v>
      </c>
      <c r="J39" s="19">
        <v>3</v>
      </c>
      <c r="K39" s="16">
        <v>43356</v>
      </c>
    </row>
    <row r="40" spans="1:11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145</v>
      </c>
      <c r="H40" s="7"/>
      <c r="I40" s="4"/>
      <c r="J40" s="19"/>
      <c r="K40" s="16"/>
    </row>
    <row r="41" spans="1:11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151</v>
      </c>
      <c r="H41" s="7"/>
      <c r="I41" s="4"/>
      <c r="J41" s="19"/>
      <c r="K41" s="16"/>
    </row>
    <row r="42" spans="1:11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>
      <c r="A43" s="324" t="s">
        <v>12</v>
      </c>
      <c r="B43" s="325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>
      <c r="A48" s="299" t="s">
        <v>123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ht="18" customHeight="1"/>
    <row r="50" spans="1:11" ht="18" customHeight="1">
      <c r="A50" s="318" t="s">
        <v>171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</row>
    <row r="51" spans="1:11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19" t="s">
        <v>21</v>
      </c>
      <c r="B52" s="320"/>
      <c r="C52" s="320"/>
      <c r="D52" s="320"/>
      <c r="E52" s="321"/>
      <c r="F52" s="3"/>
      <c r="G52" s="322" t="s">
        <v>20</v>
      </c>
      <c r="H52" s="322"/>
      <c r="I52" s="322"/>
      <c r="J52" s="322"/>
      <c r="K52" s="24"/>
    </row>
    <row r="53" spans="1:11">
      <c r="A53" s="28" t="s">
        <v>149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147</v>
      </c>
      <c r="H53" s="26"/>
      <c r="I53" s="306">
        <f>SUMIF($G$8:$G$42,G53,$E$8:$E$42)</f>
        <v>249997.75</v>
      </c>
      <c r="J53" s="307"/>
      <c r="K53" s="24"/>
    </row>
    <row r="54" spans="1:11">
      <c r="A54" s="62" t="s">
        <v>174</v>
      </c>
      <c r="B54" s="63"/>
      <c r="C54" s="63"/>
      <c r="D54" s="80"/>
      <c r="E54" s="29">
        <f t="shared" si="1"/>
        <v>81705.59</v>
      </c>
      <c r="F54" s="3"/>
      <c r="G54" s="316" t="s">
        <v>145</v>
      </c>
      <c r="H54" s="317"/>
      <c r="I54" s="306">
        <f>SUMIF($G$8:$G$42,G54,$E$8:$E$42)</f>
        <v>228475.45</v>
      </c>
      <c r="J54" s="307"/>
      <c r="K54" s="24"/>
    </row>
    <row r="55" spans="1:11">
      <c r="A55" s="27" t="s">
        <v>177</v>
      </c>
      <c r="B55" s="63"/>
      <c r="C55" s="63"/>
      <c r="D55" s="80"/>
      <c r="E55" s="29">
        <f t="shared" si="1"/>
        <v>0</v>
      </c>
      <c r="F55" s="3"/>
      <c r="G55" s="316" t="s">
        <v>121</v>
      </c>
      <c r="H55" s="317"/>
      <c r="I55" s="306">
        <f>SUMIF($G$8:$G$42,G55,$E$8:$E$42)</f>
        <v>0</v>
      </c>
      <c r="J55" s="307"/>
      <c r="K55" s="24"/>
    </row>
    <row r="56" spans="1:11">
      <c r="A56" s="27" t="s">
        <v>175</v>
      </c>
      <c r="B56" s="63"/>
      <c r="C56" s="63"/>
      <c r="D56" s="80"/>
      <c r="E56" s="29">
        <f t="shared" si="1"/>
        <v>10900</v>
      </c>
      <c r="F56" s="3"/>
      <c r="G56" s="316" t="s">
        <v>137</v>
      </c>
      <c r="H56" s="317"/>
      <c r="I56" s="306">
        <f>SUMIF($G$8:$G$42,G56,$E$8:$E$42)</f>
        <v>0</v>
      </c>
      <c r="J56" s="307"/>
      <c r="K56" s="24"/>
    </row>
    <row r="57" spans="1:11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306">
        <f>SUMIF($G$8:$G$42,G57,$E$8:$E$42)</f>
        <v>0</v>
      </c>
      <c r="J57" s="307"/>
      <c r="K57" s="24"/>
    </row>
    <row r="58" spans="1:11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302">
        <f>SUM(I53:J57)</f>
        <v>478473.2</v>
      </c>
      <c r="J58" s="303"/>
      <c r="K58" s="61">
        <f>E43-I58</f>
        <v>0</v>
      </c>
    </row>
    <row r="59" spans="1:11">
      <c r="A59" s="27" t="s">
        <v>148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>
      <c r="A61" s="27" t="s">
        <v>31</v>
      </c>
      <c r="B61" s="63"/>
      <c r="C61" s="63"/>
      <c r="D61" s="80"/>
      <c r="E61" s="29">
        <f t="shared" si="1"/>
        <v>3702.65</v>
      </c>
      <c r="F61" s="3"/>
      <c r="G61" s="103" t="s">
        <v>19</v>
      </c>
      <c r="H61" s="104"/>
      <c r="I61" s="306">
        <f>'CEF Agosto 2018'!I72:J72</f>
        <v>146762.36000000002</v>
      </c>
      <c r="J61" s="307"/>
    </row>
    <row r="62" spans="1:11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149</v>
      </c>
      <c r="H62" s="104"/>
      <c r="I62" s="306">
        <f>SUMIF($G$8:$G$42,G62,$D$8:$D$42)</f>
        <v>250000</v>
      </c>
      <c r="J62" s="307"/>
    </row>
    <row r="63" spans="1:11">
      <c r="A63" s="27" t="s">
        <v>150</v>
      </c>
      <c r="B63" s="63"/>
      <c r="C63" s="63"/>
      <c r="D63" s="80"/>
      <c r="E63" s="29">
        <f t="shared" si="1"/>
        <v>532</v>
      </c>
      <c r="F63" s="3"/>
      <c r="G63" s="316" t="s">
        <v>145</v>
      </c>
      <c r="H63" s="317"/>
      <c r="I63" s="306">
        <f>-SUMIF($G$8:$G$42,G63,$E$8:$E$42)</f>
        <v>-228475.45</v>
      </c>
      <c r="J63" s="307"/>
    </row>
    <row r="64" spans="1:11">
      <c r="A64" s="27" t="s">
        <v>151</v>
      </c>
      <c r="B64" s="63"/>
      <c r="C64" s="63"/>
      <c r="D64" s="80"/>
      <c r="E64" s="29">
        <f t="shared" si="1"/>
        <v>8497.65</v>
      </c>
      <c r="F64" s="3"/>
      <c r="G64" s="103" t="s">
        <v>30</v>
      </c>
      <c r="H64" s="104"/>
      <c r="I64" s="306">
        <v>843.96</v>
      </c>
      <c r="J64" s="307"/>
    </row>
    <row r="65" spans="1:13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314"/>
      <c r="J65" s="315"/>
    </row>
    <row r="66" spans="1:13">
      <c r="A66" s="27" t="s">
        <v>176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310">
        <f>SUM(I61:J64)</f>
        <v>169130.86999999997</v>
      </c>
      <c r="J66" s="311"/>
    </row>
    <row r="67" spans="1:13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105"/>
      <c r="K67" s="24"/>
    </row>
    <row r="68" spans="1:13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312"/>
      <c r="J68" s="313"/>
      <c r="K68" s="24"/>
    </row>
    <row r="69" spans="1:13">
      <c r="A69" s="27" t="s">
        <v>179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304">
        <f>'CEF Agosto 2018'!I79:J79</f>
        <v>0</v>
      </c>
      <c r="J69" s="305"/>
      <c r="K69" s="24"/>
    </row>
    <row r="70" spans="1:13">
      <c r="A70" s="27" t="s">
        <v>146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104"/>
      <c r="I70" s="306">
        <f>SUMIF($G$8:$G$42,G70,$E$8:$E$42)</f>
        <v>0</v>
      </c>
      <c r="J70" s="307"/>
      <c r="K70" s="24"/>
    </row>
    <row r="71" spans="1:13">
      <c r="A71" s="27" t="s">
        <v>34</v>
      </c>
      <c r="B71" s="63"/>
      <c r="C71" s="63"/>
      <c r="D71" s="80"/>
      <c r="E71" s="29">
        <f t="shared" si="1"/>
        <v>2352</v>
      </c>
      <c r="F71" s="3"/>
      <c r="G71" s="103" t="s">
        <v>14</v>
      </c>
      <c r="H71" s="104"/>
      <c r="I71" s="306">
        <f>-SUMIF($G$8:$G$42,G71,$D$8:$D$42)</f>
        <v>0</v>
      </c>
      <c r="J71" s="307"/>
      <c r="K71" s="24"/>
    </row>
    <row r="72" spans="1:13">
      <c r="A72" s="62" t="s">
        <v>178</v>
      </c>
      <c r="B72" s="63"/>
      <c r="C72" s="63"/>
      <c r="D72" s="80"/>
      <c r="E72" s="29">
        <f t="shared" si="1"/>
        <v>0</v>
      </c>
      <c r="F72" s="3"/>
      <c r="G72" s="30"/>
      <c r="H72" s="31"/>
      <c r="I72" s="314"/>
      <c r="J72" s="315"/>
      <c r="K72" s="24"/>
    </row>
    <row r="73" spans="1:13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302">
        <f>SUM(I69:J72)</f>
        <v>0</v>
      </c>
      <c r="J73" s="303"/>
      <c r="K73" s="24"/>
    </row>
    <row r="74" spans="1:13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105"/>
      <c r="K74" s="24"/>
    </row>
    <row r="75" spans="1:13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>
      <c r="A76" s="27"/>
      <c r="B76" s="63"/>
      <c r="C76" s="63"/>
      <c r="D76" s="80"/>
      <c r="E76" s="29">
        <f t="shared" si="1"/>
        <v>0</v>
      </c>
      <c r="F76" s="3"/>
      <c r="G76" s="103" t="s">
        <v>19</v>
      </c>
      <c r="H76" s="104"/>
      <c r="I76" s="308">
        <f>'CEF Agosto 2018'!I86:J86</f>
        <v>0</v>
      </c>
      <c r="J76" s="309"/>
      <c r="K76" s="24"/>
    </row>
    <row r="77" spans="1:13">
      <c r="A77" s="27"/>
      <c r="B77" s="63"/>
      <c r="C77" s="63"/>
      <c r="D77" s="80"/>
      <c r="E77" s="29">
        <f t="shared" si="1"/>
        <v>0</v>
      </c>
      <c r="F77" s="3"/>
      <c r="G77" s="103" t="s">
        <v>42</v>
      </c>
      <c r="H77" s="104"/>
      <c r="I77" s="291">
        <f>249997.75+16000</f>
        <v>265997.75</v>
      </c>
      <c r="J77" s="292"/>
      <c r="K77" s="24"/>
    </row>
    <row r="78" spans="1:13">
      <c r="A78" s="27"/>
      <c r="B78" s="63"/>
      <c r="C78" s="63"/>
      <c r="D78" s="80"/>
      <c r="E78" s="29">
        <f t="shared" si="1"/>
        <v>0</v>
      </c>
      <c r="F78" s="3"/>
      <c r="G78" s="103" t="s">
        <v>147</v>
      </c>
      <c r="H78" s="104"/>
      <c r="I78" s="306">
        <f>-SUMIF($G$8:$G$42,G78,$E$8:$E$42)</f>
        <v>-249997.75</v>
      </c>
      <c r="J78" s="307"/>
      <c r="K78" s="24"/>
    </row>
    <row r="79" spans="1:13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300"/>
      <c r="J79" s="301"/>
      <c r="K79" s="24"/>
    </row>
    <row r="80" spans="1:13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10">
        <f>SUM(I76:J79)</f>
        <v>16000</v>
      </c>
      <c r="J80" s="311"/>
      <c r="K80" s="24"/>
      <c r="M80" s="39"/>
    </row>
    <row r="81" spans="1:11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304">
        <f>'CEF Agosto 2018'!I93:J93</f>
        <v>17317.980000000003</v>
      </c>
      <c r="J83" s="305"/>
      <c r="K83" s="24"/>
    </row>
    <row r="84" spans="1:11">
      <c r="A84" s="27"/>
      <c r="B84" s="63"/>
      <c r="C84" s="63"/>
      <c r="D84" s="80"/>
      <c r="E84" s="29">
        <f t="shared" si="1"/>
        <v>0</v>
      </c>
      <c r="F84" s="3"/>
      <c r="G84" s="27" t="s">
        <v>190</v>
      </c>
      <c r="H84" s="41"/>
      <c r="I84" s="306">
        <v>16818.400000000001</v>
      </c>
      <c r="J84" s="307"/>
      <c r="K84" s="24"/>
    </row>
    <row r="85" spans="1:11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306"/>
      <c r="J85" s="307"/>
      <c r="K85" s="24"/>
    </row>
    <row r="86" spans="1:11">
      <c r="A86" s="27"/>
      <c r="B86" s="63"/>
      <c r="C86" s="63"/>
      <c r="D86" s="80"/>
      <c r="E86" s="29">
        <f t="shared" si="1"/>
        <v>0</v>
      </c>
      <c r="F86" s="3"/>
      <c r="G86" s="59" t="s">
        <v>176</v>
      </c>
      <c r="H86" s="60"/>
      <c r="I86" s="300">
        <f>-SUMIF($G$8:$G$42,G86,$D$8:$D$42)</f>
        <v>-17317.98</v>
      </c>
      <c r="J86" s="301"/>
      <c r="K86" s="24"/>
    </row>
    <row r="87" spans="1:11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302">
        <f>SUM(I83:J86)</f>
        <v>16818.400000000005</v>
      </c>
      <c r="J87" s="303"/>
      <c r="K87" s="24"/>
    </row>
    <row r="88" spans="1:11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105"/>
      <c r="K88" s="24"/>
    </row>
    <row r="89" spans="1:11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>
      <c r="A90" s="30"/>
      <c r="B90" s="85"/>
      <c r="C90" s="85"/>
      <c r="D90" s="86"/>
      <c r="E90" s="87"/>
      <c r="F90" s="3"/>
      <c r="G90" s="103" t="s">
        <v>140</v>
      </c>
      <c r="H90" s="104"/>
      <c r="I90" s="291">
        <f>'CEF Agosto 2018'!I100:J100</f>
        <v>57586.930000000008</v>
      </c>
      <c r="J90" s="292"/>
      <c r="K90" s="24"/>
    </row>
    <row r="91" spans="1:11">
      <c r="A91" s="297" t="s">
        <v>22</v>
      </c>
      <c r="B91" s="298"/>
      <c r="C91" s="298"/>
      <c r="D91" s="81"/>
      <c r="E91" s="35">
        <f>SUM(E53:E89)</f>
        <v>478473.19999999995</v>
      </c>
      <c r="F91" s="3"/>
      <c r="G91" s="27" t="s">
        <v>191</v>
      </c>
      <c r="H91" s="104"/>
      <c r="I91" s="291"/>
      <c r="J91" s="292"/>
      <c r="K91" s="24"/>
    </row>
    <row r="92" spans="1:11">
      <c r="F92" s="3"/>
      <c r="G92" s="103"/>
      <c r="H92" s="104"/>
      <c r="I92" s="291"/>
      <c r="J92" s="292"/>
      <c r="K92" s="24"/>
    </row>
    <row r="93" spans="1:11">
      <c r="E93" s="46">
        <f>D43-E91</f>
        <v>0</v>
      </c>
      <c r="F93" s="3"/>
      <c r="G93" s="27"/>
      <c r="H93" s="41"/>
      <c r="I93" s="295"/>
      <c r="J93" s="296"/>
      <c r="K93" s="24"/>
    </row>
    <row r="94" spans="1:11">
      <c r="F94" s="3"/>
      <c r="G94" s="89" t="s">
        <v>18</v>
      </c>
      <c r="H94" s="88"/>
      <c r="I94" s="302">
        <f>SUM(I90:J93)</f>
        <v>57586.930000000008</v>
      </c>
      <c r="J94" s="303"/>
      <c r="K94" s="24"/>
    </row>
    <row r="95" spans="1:11">
      <c r="A95" s="27"/>
      <c r="B95" s="63"/>
      <c r="C95" s="63"/>
      <c r="D95" s="80"/>
      <c r="K95" s="24"/>
    </row>
    <row r="96" spans="1:11">
      <c r="A96" s="27"/>
      <c r="B96" s="63"/>
      <c r="C96" s="63"/>
      <c r="D96" s="80"/>
      <c r="G96" s="45"/>
      <c r="H96" s="45"/>
      <c r="I96" s="69"/>
      <c r="J96" s="69"/>
      <c r="K96" s="24"/>
    </row>
    <row r="97" spans="4:11">
      <c r="D97" s="72"/>
      <c r="F97" s="3"/>
      <c r="G97" s="45"/>
      <c r="H97" s="45"/>
      <c r="I97" s="69"/>
      <c r="J97" s="69"/>
      <c r="K97" s="24"/>
    </row>
    <row r="99" spans="4:11">
      <c r="E99" s="46"/>
    </row>
    <row r="100" spans="4:11">
      <c r="E100" s="46"/>
    </row>
    <row r="103" spans="4:11">
      <c r="E103" s="46"/>
    </row>
  </sheetData>
  <mergeCells count="47">
    <mergeCell ref="A91:C91"/>
    <mergeCell ref="I91:J91"/>
    <mergeCell ref="I92:J92"/>
    <mergeCell ref="I93:J93"/>
    <mergeCell ref="I94:J94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A48:K48"/>
    <mergeCell ref="A2:K2"/>
    <mergeCell ref="A4:K4"/>
    <mergeCell ref="A6:F6"/>
    <mergeCell ref="G6:K6"/>
    <mergeCell ref="A43:B4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topLeftCell="A8" workbookViewId="0">
      <selection activeCell="I65" sqref="I65:J65"/>
    </sheetView>
  </sheetViews>
  <sheetFormatPr defaultRowHeight="15"/>
  <cols>
    <col min="1" max="4" width="9.140625" style="72"/>
    <col min="5" max="5" width="13.28515625" style="72" bestFit="1" customWidth="1"/>
    <col min="6" max="6" width="11.5703125" style="72" bestFit="1" customWidth="1"/>
    <col min="7" max="9" width="9.140625" style="72"/>
    <col min="10" max="10" width="9.140625" style="72" customWidth="1"/>
    <col min="11" max="11" width="9.140625" style="72"/>
    <col min="12" max="12" width="15.5703125" style="72" customWidth="1"/>
    <col min="13" max="13" width="14.85546875" style="72" customWidth="1"/>
    <col min="14" max="14" width="17.140625" style="72" customWidth="1"/>
    <col min="15" max="15" width="21" style="72" customWidth="1"/>
    <col min="16" max="16" width="24" style="72" customWidth="1"/>
    <col min="17" max="17" width="10.140625" style="72" bestFit="1" customWidth="1"/>
    <col min="18" max="18" width="11.5703125" style="72" bestFit="1" customWidth="1"/>
    <col min="19" max="16384" width="9.140625" style="72"/>
  </cols>
  <sheetData>
    <row r="1" spans="1:6">
      <c r="A1" s="28" t="s">
        <v>149</v>
      </c>
      <c r="B1" s="44"/>
      <c r="C1" s="44"/>
      <c r="D1" s="117"/>
      <c r="E1" s="116">
        <v>189000</v>
      </c>
    </row>
    <row r="2" spans="1:6">
      <c r="A2" s="27" t="s">
        <v>149</v>
      </c>
      <c r="B2" s="63"/>
      <c r="C2" s="63"/>
      <c r="D2" s="110"/>
      <c r="E2" s="109">
        <v>200000</v>
      </c>
    </row>
    <row r="3" spans="1:6">
      <c r="A3" s="27" t="s">
        <v>149</v>
      </c>
      <c r="B3" s="63"/>
      <c r="C3" s="63"/>
      <c r="D3" s="110"/>
      <c r="E3" s="109">
        <v>248822.76</v>
      </c>
    </row>
    <row r="4" spans="1:6">
      <c r="A4" s="27" t="s">
        <v>149</v>
      </c>
      <c r="B4" s="63"/>
      <c r="C4" s="63"/>
      <c r="D4" s="110"/>
      <c r="E4" s="109">
        <v>250000</v>
      </c>
    </row>
    <row r="5" spans="1:6">
      <c r="A5" s="62" t="s">
        <v>174</v>
      </c>
      <c r="B5" s="63"/>
      <c r="C5" s="63"/>
      <c r="D5" s="110"/>
      <c r="E5" s="109">
        <v>4842.67</v>
      </c>
    </row>
    <row r="6" spans="1:6">
      <c r="A6" s="62" t="s">
        <v>174</v>
      </c>
      <c r="B6" s="63"/>
      <c r="C6" s="63"/>
      <c r="D6" s="110"/>
      <c r="E6" s="109">
        <v>78582.080000000002</v>
      </c>
      <c r="F6" s="46"/>
    </row>
    <row r="7" spans="1:6">
      <c r="A7" s="62" t="s">
        <v>174</v>
      </c>
      <c r="B7" s="63"/>
      <c r="C7" s="63"/>
      <c r="D7" s="110"/>
      <c r="E7" s="109">
        <v>81705.59</v>
      </c>
      <c r="F7" s="46">
        <f>SUM(E5:E7)</f>
        <v>165130.34</v>
      </c>
    </row>
    <row r="8" spans="1:6">
      <c r="A8" s="27" t="s">
        <v>177</v>
      </c>
      <c r="B8" s="63"/>
      <c r="C8" s="63"/>
      <c r="D8" s="110"/>
      <c r="E8" s="109">
        <v>1173.02</v>
      </c>
      <c r="F8" s="46"/>
    </row>
    <row r="9" spans="1:6">
      <c r="A9" s="27" t="s">
        <v>177</v>
      </c>
      <c r="B9" s="63"/>
      <c r="C9" s="63"/>
      <c r="D9" s="110"/>
      <c r="E9" s="109">
        <v>0</v>
      </c>
    </row>
    <row r="10" spans="1:6">
      <c r="A10" s="27" t="s">
        <v>177</v>
      </c>
      <c r="B10" s="63"/>
      <c r="C10" s="63"/>
      <c r="D10" s="110"/>
      <c r="E10" s="109">
        <v>0</v>
      </c>
    </row>
    <row r="11" spans="1:6">
      <c r="A11" s="27" t="s">
        <v>175</v>
      </c>
      <c r="B11" s="63"/>
      <c r="C11" s="63"/>
      <c r="D11" s="110"/>
      <c r="E11" s="109">
        <v>10900</v>
      </c>
      <c r="F11" s="46"/>
    </row>
    <row r="12" spans="1:6">
      <c r="A12" s="27" t="s">
        <v>175</v>
      </c>
      <c r="B12" s="63"/>
      <c r="C12" s="63"/>
      <c r="D12" s="110"/>
      <c r="E12" s="109">
        <v>11685.5</v>
      </c>
    </row>
    <row r="13" spans="1:6">
      <c r="A13" s="27" t="s">
        <v>175</v>
      </c>
      <c r="B13" s="63"/>
      <c r="C13" s="63"/>
      <c r="D13" s="110"/>
      <c r="E13" s="109">
        <v>10900</v>
      </c>
      <c r="F13" s="46">
        <f>SUM(E11:E13)</f>
        <v>33485.5</v>
      </c>
    </row>
    <row r="14" spans="1:6">
      <c r="A14" s="27" t="s">
        <v>136</v>
      </c>
      <c r="B14" s="63"/>
      <c r="C14" s="63"/>
      <c r="D14" s="110"/>
      <c r="E14" s="109">
        <v>0</v>
      </c>
      <c r="F14" s="46"/>
    </row>
    <row r="15" spans="1:6">
      <c r="A15" s="27" t="s">
        <v>136</v>
      </c>
      <c r="B15" s="63"/>
      <c r="C15" s="63"/>
      <c r="D15" s="110"/>
      <c r="E15" s="109">
        <v>0</v>
      </c>
    </row>
    <row r="16" spans="1:6">
      <c r="A16" s="27" t="s">
        <v>136</v>
      </c>
      <c r="B16" s="63"/>
      <c r="C16" s="63"/>
      <c r="D16" s="110"/>
      <c r="E16" s="109">
        <v>0</v>
      </c>
    </row>
    <row r="17" spans="1:6">
      <c r="A17" s="27" t="s">
        <v>136</v>
      </c>
      <c r="B17" s="63"/>
      <c r="C17" s="63"/>
      <c r="D17" s="110"/>
      <c r="E17" s="109">
        <v>0</v>
      </c>
      <c r="F17" s="46"/>
    </row>
    <row r="18" spans="1:6">
      <c r="A18" s="27" t="s">
        <v>25</v>
      </c>
      <c r="B18" s="63"/>
      <c r="C18" s="63"/>
      <c r="D18" s="110"/>
      <c r="E18" s="109">
        <v>0</v>
      </c>
    </row>
    <row r="19" spans="1:6">
      <c r="A19" s="28" t="s">
        <v>25</v>
      </c>
      <c r="B19" s="44"/>
      <c r="C19" s="44"/>
      <c r="D19" s="117"/>
      <c r="E19" s="116">
        <v>0</v>
      </c>
    </row>
    <row r="20" spans="1:6">
      <c r="A20" s="27" t="s">
        <v>25</v>
      </c>
      <c r="B20" s="63"/>
      <c r="C20" s="63"/>
      <c r="D20" s="110"/>
      <c r="E20" s="109">
        <v>0</v>
      </c>
    </row>
    <row r="21" spans="1:6">
      <c r="A21" s="27" t="s">
        <v>25</v>
      </c>
      <c r="B21" s="63"/>
      <c r="C21" s="63"/>
      <c r="D21" s="110"/>
      <c r="E21" s="109">
        <v>0</v>
      </c>
    </row>
    <row r="22" spans="1:6">
      <c r="A22" s="27" t="s">
        <v>148</v>
      </c>
      <c r="B22" s="63"/>
      <c r="C22" s="63"/>
      <c r="D22" s="110"/>
      <c r="E22" s="109">
        <v>85437.920000000027</v>
      </c>
    </row>
    <row r="23" spans="1:6">
      <c r="A23" s="27" t="s">
        <v>148</v>
      </c>
      <c r="B23" s="63"/>
      <c r="C23" s="63"/>
      <c r="D23" s="110"/>
      <c r="E23" s="109">
        <v>90404.28</v>
      </c>
    </row>
    <row r="24" spans="1:6">
      <c r="A24" s="27" t="s">
        <v>148</v>
      </c>
      <c r="B24" s="63"/>
      <c r="C24" s="63"/>
      <c r="D24" s="110"/>
      <c r="E24" s="109">
        <v>91327.02</v>
      </c>
    </row>
    <row r="25" spans="1:6">
      <c r="A25" s="27" t="s">
        <v>148</v>
      </c>
      <c r="B25" s="63"/>
      <c r="C25" s="63"/>
      <c r="D25" s="110"/>
      <c r="E25" s="109">
        <v>91975.37</v>
      </c>
      <c r="F25" s="46">
        <f>SUM(E22:E25)</f>
        <v>359144.59</v>
      </c>
    </row>
    <row r="26" spans="1:6">
      <c r="A26" s="27" t="s">
        <v>29</v>
      </c>
      <c r="B26" s="63"/>
      <c r="C26" s="63"/>
      <c r="D26" s="110"/>
      <c r="E26" s="109">
        <v>8793.0300000000007</v>
      </c>
    </row>
    <row r="27" spans="1:6">
      <c r="A27" s="27" t="s">
        <v>29</v>
      </c>
      <c r="B27" s="63"/>
      <c r="C27" s="63"/>
      <c r="D27" s="110"/>
      <c r="E27" s="109">
        <v>9246.59</v>
      </c>
    </row>
    <row r="28" spans="1:6">
      <c r="A28" s="27" t="s">
        <v>29</v>
      </c>
      <c r="B28" s="63"/>
      <c r="C28" s="63"/>
      <c r="D28" s="110"/>
      <c r="E28" s="109">
        <v>9351.69</v>
      </c>
    </row>
    <row r="29" spans="1:6">
      <c r="A29" s="27" t="s">
        <v>29</v>
      </c>
      <c r="B29" s="63"/>
      <c r="C29" s="63"/>
      <c r="D29" s="110"/>
      <c r="E29" s="109">
        <v>9294.73</v>
      </c>
      <c r="F29" s="46">
        <f>SUM(E26:E29)</f>
        <v>36686.040000000008</v>
      </c>
    </row>
    <row r="30" spans="1:6">
      <c r="A30" s="27" t="s">
        <v>31</v>
      </c>
      <c r="B30" s="63"/>
      <c r="C30" s="63"/>
      <c r="D30" s="110"/>
      <c r="E30" s="109">
        <v>1807.44</v>
      </c>
    </row>
    <row r="31" spans="1:6">
      <c r="A31" s="27" t="s">
        <v>31</v>
      </c>
      <c r="B31" s="63"/>
      <c r="C31" s="63"/>
      <c r="D31" s="110"/>
      <c r="E31" s="109">
        <v>3567.37</v>
      </c>
    </row>
    <row r="32" spans="1:6">
      <c r="A32" s="27" t="s">
        <v>31</v>
      </c>
      <c r="B32" s="63"/>
      <c r="C32" s="63"/>
      <c r="D32" s="110"/>
      <c r="E32" s="109">
        <v>3671.66</v>
      </c>
    </row>
    <row r="33" spans="1:19">
      <c r="A33" s="27" t="s">
        <v>31</v>
      </c>
      <c r="B33" s="63"/>
      <c r="C33" s="63"/>
      <c r="D33" s="110"/>
      <c r="E33" s="109">
        <v>3702.65</v>
      </c>
      <c r="F33" s="46">
        <f>SUM(E30:E33)</f>
        <v>12749.119999999999</v>
      </c>
    </row>
    <row r="34" spans="1:19">
      <c r="A34" s="27" t="s">
        <v>28</v>
      </c>
      <c r="B34" s="63"/>
      <c r="C34" s="63"/>
      <c r="D34" s="110"/>
      <c r="E34" s="109">
        <v>0</v>
      </c>
    </row>
    <row r="35" spans="1:19">
      <c r="A35" s="27" t="s">
        <v>28</v>
      </c>
      <c r="B35" s="63"/>
      <c r="C35" s="63"/>
      <c r="D35" s="110"/>
      <c r="E35" s="109">
        <v>35.200000000000003</v>
      </c>
    </row>
    <row r="36" spans="1:19">
      <c r="A36" s="27" t="s">
        <v>28</v>
      </c>
      <c r="B36" s="63"/>
      <c r="C36" s="63"/>
      <c r="D36" s="110"/>
      <c r="E36" s="109">
        <v>0</v>
      </c>
    </row>
    <row r="37" spans="1:19" ht="15.75" thickBot="1">
      <c r="A37" s="27" t="s">
        <v>28</v>
      </c>
      <c r="B37" s="63"/>
      <c r="C37" s="63"/>
      <c r="D37" s="110"/>
      <c r="E37" s="109">
        <v>0</v>
      </c>
      <c r="F37" s="46"/>
    </row>
    <row r="38" spans="1:19">
      <c r="A38" s="27" t="s">
        <v>150</v>
      </c>
      <c r="B38" s="63"/>
      <c r="C38" s="63"/>
      <c r="D38" s="110"/>
      <c r="E38" s="109">
        <v>515.9</v>
      </c>
      <c r="P38" s="121">
        <v>162679.73000000001</v>
      </c>
    </row>
    <row r="39" spans="1:19" ht="15.75" thickBot="1">
      <c r="A39" s="27" t="s">
        <v>150</v>
      </c>
      <c r="B39" s="63"/>
      <c r="C39" s="63"/>
      <c r="D39" s="110"/>
      <c r="E39" s="109">
        <v>505.4</v>
      </c>
      <c r="P39" s="96">
        <v>87318.02</v>
      </c>
      <c r="S39" s="72">
        <v>249997.45</v>
      </c>
    </row>
    <row r="40" spans="1:19">
      <c r="A40" s="27" t="s">
        <v>150</v>
      </c>
      <c r="B40" s="63"/>
      <c r="C40" s="63"/>
      <c r="D40" s="110"/>
      <c r="E40" s="109">
        <v>0</v>
      </c>
      <c r="P40" s="120">
        <v>162679.73000000001</v>
      </c>
      <c r="S40" s="72">
        <f>S39*4</f>
        <v>999989.8</v>
      </c>
    </row>
    <row r="41" spans="1:19" ht="15.75" thickBot="1">
      <c r="A41" s="27" t="s">
        <v>150</v>
      </c>
      <c r="B41" s="63"/>
      <c r="C41" s="63"/>
      <c r="D41" s="110"/>
      <c r="E41" s="109">
        <v>532</v>
      </c>
      <c r="F41" s="46"/>
      <c r="P41" s="96">
        <v>87318.02</v>
      </c>
    </row>
    <row r="42" spans="1:19" ht="15.75" thickBot="1">
      <c r="A42" s="28" t="s">
        <v>50</v>
      </c>
      <c r="B42" s="44"/>
      <c r="C42" s="44"/>
      <c r="D42" s="117"/>
      <c r="E42" s="116">
        <v>0</v>
      </c>
      <c r="F42" s="46">
        <f>SUM(E38:E42)</f>
        <v>1553.3</v>
      </c>
      <c r="P42" s="96">
        <v>87318.02</v>
      </c>
    </row>
    <row r="43" spans="1:19" ht="15.75" thickBot="1">
      <c r="A43" s="27" t="s">
        <v>151</v>
      </c>
      <c r="B43" s="63"/>
      <c r="C43" s="63"/>
      <c r="D43" s="110"/>
      <c r="E43" s="109">
        <v>8452.4699999999993</v>
      </c>
      <c r="P43" s="96">
        <v>162679.73000000001</v>
      </c>
    </row>
    <row r="44" spans="1:19" ht="15.75" thickBot="1">
      <c r="A44" s="27" t="s">
        <v>151</v>
      </c>
      <c r="B44" s="63"/>
      <c r="C44" s="63"/>
      <c r="D44" s="110"/>
      <c r="E44" s="109">
        <v>7846.5</v>
      </c>
      <c r="P44" s="96">
        <v>87318.02</v>
      </c>
    </row>
    <row r="45" spans="1:19" ht="15.75" thickBot="1">
      <c r="A45" s="27" t="s">
        <v>151</v>
      </c>
      <c r="B45" s="63"/>
      <c r="C45" s="63"/>
      <c r="D45" s="110"/>
      <c r="E45" s="109">
        <v>8533.51</v>
      </c>
      <c r="P45" s="96">
        <v>162679.73000000001</v>
      </c>
      <c r="Q45" s="119">
        <f>SUM(P38:P45)</f>
        <v>999991</v>
      </c>
    </row>
    <row r="46" spans="1:19">
      <c r="A46" s="27" t="s">
        <v>151</v>
      </c>
      <c r="B46" s="63"/>
      <c r="C46" s="63"/>
      <c r="D46" s="110"/>
      <c r="E46" s="109">
        <v>8497.65</v>
      </c>
      <c r="F46" s="46">
        <f>SUM(E43:E46)</f>
        <v>33330.129999999997</v>
      </c>
    </row>
    <row r="47" spans="1:19">
      <c r="A47" s="27" t="s">
        <v>49</v>
      </c>
      <c r="B47" s="63"/>
      <c r="C47" s="63"/>
      <c r="D47" s="110"/>
      <c r="E47" s="109">
        <v>0</v>
      </c>
      <c r="P47" s="72">
        <v>76167.39</v>
      </c>
    </row>
    <row r="48" spans="1:19">
      <c r="A48" s="27" t="s">
        <v>49</v>
      </c>
      <c r="B48" s="63"/>
      <c r="C48" s="63"/>
      <c r="D48" s="110"/>
      <c r="E48" s="109">
        <v>0</v>
      </c>
      <c r="P48" s="72">
        <v>3056.89</v>
      </c>
    </row>
    <row r="49" spans="1:18">
      <c r="A49" s="27" t="s">
        <v>49</v>
      </c>
      <c r="B49" s="63"/>
      <c r="C49" s="63"/>
      <c r="D49" s="110"/>
      <c r="E49" s="109">
        <v>0</v>
      </c>
    </row>
    <row r="50" spans="1:18">
      <c r="A50" s="27" t="s">
        <v>49</v>
      </c>
      <c r="B50" s="63"/>
      <c r="C50" s="63"/>
      <c r="D50" s="110"/>
      <c r="E50" s="109">
        <v>0</v>
      </c>
      <c r="F50" s="46"/>
      <c r="P50" s="119">
        <f>SUM(P38:P48)</f>
        <v>1079215.2799999998</v>
      </c>
      <c r="R50" s="119">
        <f>P50-P52</f>
        <v>169130.87</v>
      </c>
    </row>
    <row r="51" spans="1:18">
      <c r="A51" s="27" t="s">
        <v>176</v>
      </c>
      <c r="B51" s="63"/>
      <c r="C51" s="63"/>
      <c r="D51" s="110"/>
      <c r="E51" s="109">
        <v>53667.93</v>
      </c>
    </row>
    <row r="52" spans="1:18">
      <c r="A52" s="27" t="s">
        <v>176</v>
      </c>
      <c r="B52" s="63"/>
      <c r="C52" s="63"/>
      <c r="D52" s="110"/>
      <c r="E52" s="109">
        <v>16968.82</v>
      </c>
      <c r="P52" s="119">
        <f>P50-169130.87</f>
        <v>910084.4099999998</v>
      </c>
    </row>
    <row r="53" spans="1:18">
      <c r="A53" s="27" t="s">
        <v>176</v>
      </c>
      <c r="B53" s="63"/>
      <c r="C53" s="63"/>
      <c r="D53" s="110"/>
      <c r="E53" s="109">
        <v>17317.98</v>
      </c>
    </row>
    <row r="54" spans="1:18">
      <c r="A54" s="27" t="s">
        <v>36</v>
      </c>
      <c r="B54" s="63"/>
      <c r="C54" s="63"/>
      <c r="D54" s="110"/>
      <c r="E54" s="109">
        <v>0</v>
      </c>
    </row>
    <row r="55" spans="1:18">
      <c r="A55" s="27" t="s">
        <v>36</v>
      </c>
      <c r="B55" s="63"/>
      <c r="C55" s="63"/>
      <c r="D55" s="110"/>
      <c r="E55" s="109">
        <v>0</v>
      </c>
    </row>
    <row r="56" spans="1:18">
      <c r="A56" s="27" t="s">
        <v>36</v>
      </c>
      <c r="B56" s="41"/>
      <c r="C56" s="41"/>
      <c r="D56" s="110"/>
      <c r="E56" s="109">
        <v>0</v>
      </c>
    </row>
    <row r="57" spans="1:18">
      <c r="A57" s="27" t="s">
        <v>36</v>
      </c>
      <c r="B57" s="41"/>
      <c r="C57" s="41"/>
      <c r="D57" s="110"/>
      <c r="E57" s="109">
        <v>0</v>
      </c>
      <c r="F57" s="46"/>
      <c r="G57" s="72" t="s">
        <v>193</v>
      </c>
    </row>
    <row r="58" spans="1:18">
      <c r="A58" s="27" t="s">
        <v>43</v>
      </c>
      <c r="B58" s="63"/>
      <c r="C58" s="63"/>
      <c r="D58" s="110"/>
      <c r="E58" s="109">
        <v>3060.58</v>
      </c>
    </row>
    <row r="59" spans="1:18" ht="15.75" thickBot="1">
      <c r="A59" s="27" t="s">
        <v>43</v>
      </c>
      <c r="B59" s="63"/>
      <c r="C59" s="63"/>
      <c r="D59" s="110"/>
      <c r="E59" s="109">
        <v>2115.75</v>
      </c>
    </row>
    <row r="60" spans="1:18" ht="34.5" thickBot="1">
      <c r="A60" s="27" t="s">
        <v>43</v>
      </c>
      <c r="B60" s="63"/>
      <c r="C60" s="63"/>
      <c r="D60" s="110"/>
      <c r="E60" s="109">
        <v>2284.5500000000002</v>
      </c>
      <c r="K60" s="118" t="s">
        <v>211</v>
      </c>
      <c r="L60" s="115">
        <f>159053.95+158651.14+159735.18+160119.35</f>
        <v>637559.62</v>
      </c>
      <c r="M60" s="115">
        <v>171574.72</v>
      </c>
      <c r="N60" s="115">
        <f>O60-M60</f>
        <v>295197.30000000005</v>
      </c>
      <c r="O60" s="115">
        <f>1364.24+33330.13+1553.3+35.2+36686.04+359144.59+33485.5+1173.02</f>
        <v>466772.02</v>
      </c>
      <c r="P60" s="115">
        <f>L60-N60</f>
        <v>342362.31999999995</v>
      </c>
      <c r="R60" s="46">
        <f>M60+N60</f>
        <v>466772.02</v>
      </c>
    </row>
    <row r="61" spans="1:18" ht="34.5" thickBot="1">
      <c r="A61" s="27" t="s">
        <v>43</v>
      </c>
      <c r="B61" s="63"/>
      <c r="C61" s="63"/>
      <c r="D61" s="110"/>
      <c r="E61" s="109">
        <v>2096.23</v>
      </c>
      <c r="F61" s="46">
        <f>SUM(E58:E61)</f>
        <v>9557.11</v>
      </c>
      <c r="K61" s="114" t="s">
        <v>210</v>
      </c>
      <c r="L61" s="111">
        <f>82400+86030+91090+90890</f>
        <v>350410</v>
      </c>
      <c r="M61" s="111">
        <v>88032.17</v>
      </c>
      <c r="N61" s="115">
        <f>O61-M61</f>
        <v>266959.49000000005</v>
      </c>
      <c r="O61" s="111">
        <f>167555.09+9557.11+12749.12+165130.34</f>
        <v>354991.66000000003</v>
      </c>
      <c r="P61" s="115">
        <f>L61-N61</f>
        <v>83450.509999999951</v>
      </c>
      <c r="R61" s="46">
        <f>M61+N61</f>
        <v>354991.66000000003</v>
      </c>
    </row>
    <row r="62" spans="1:18" ht="23.25" thickBot="1">
      <c r="A62" s="27" t="s">
        <v>179</v>
      </c>
      <c r="B62" s="63"/>
      <c r="C62" s="63"/>
      <c r="D62" s="110"/>
      <c r="E62" s="109">
        <v>1364.24</v>
      </c>
      <c r="K62" s="114" t="s">
        <v>209</v>
      </c>
      <c r="L62" s="111"/>
      <c r="M62" s="111"/>
      <c r="N62" s="111"/>
      <c r="O62" s="111"/>
      <c r="P62" s="111"/>
    </row>
    <row r="63" spans="1:18" ht="45.75" thickBot="1">
      <c r="A63" s="27" t="s">
        <v>179</v>
      </c>
      <c r="B63" s="63"/>
      <c r="C63" s="63"/>
      <c r="D63" s="110"/>
      <c r="E63" s="109">
        <v>0</v>
      </c>
      <c r="K63" s="114" t="s">
        <v>208</v>
      </c>
      <c r="L63" s="111"/>
      <c r="M63" s="111"/>
      <c r="N63" s="111"/>
      <c r="O63" s="111"/>
      <c r="P63" s="111"/>
    </row>
    <row r="64" spans="1:18" ht="23.25" thickBot="1">
      <c r="A64" s="27" t="s">
        <v>179</v>
      </c>
      <c r="B64" s="63"/>
      <c r="C64" s="63"/>
      <c r="D64" s="110"/>
      <c r="E64" s="109">
        <v>0</v>
      </c>
      <c r="K64" s="114" t="s">
        <v>207</v>
      </c>
      <c r="L64" s="111"/>
      <c r="M64" s="111"/>
      <c r="N64" s="111"/>
      <c r="O64" s="111"/>
      <c r="P64" s="111"/>
    </row>
    <row r="65" spans="1:18" ht="45.75" thickBot="1">
      <c r="A65" s="28" t="s">
        <v>26</v>
      </c>
      <c r="B65" s="44"/>
      <c r="C65" s="44"/>
      <c r="D65" s="117"/>
      <c r="E65" s="116">
        <v>0</v>
      </c>
      <c r="F65" s="46"/>
      <c r="K65" s="114" t="s">
        <v>206</v>
      </c>
      <c r="L65" s="111"/>
      <c r="M65" s="111"/>
      <c r="N65" s="111"/>
      <c r="O65" s="111"/>
      <c r="P65" s="111"/>
    </row>
    <row r="66" spans="1:18" ht="23.25" thickBot="1">
      <c r="A66" s="27" t="s">
        <v>146</v>
      </c>
      <c r="B66" s="41"/>
      <c r="C66" s="41"/>
      <c r="D66" s="110"/>
      <c r="E66" s="109">
        <v>76091.75</v>
      </c>
      <c r="K66" s="114" t="s">
        <v>205</v>
      </c>
      <c r="L66" s="111"/>
      <c r="M66" s="111"/>
      <c r="N66" s="111"/>
      <c r="O66" s="111"/>
      <c r="P66" s="111"/>
    </row>
    <row r="67" spans="1:18" ht="34.5" thickBot="1">
      <c r="A67" s="27" t="s">
        <v>146</v>
      </c>
      <c r="B67" s="41"/>
      <c r="C67" s="41"/>
      <c r="D67" s="110"/>
      <c r="E67" s="109">
        <v>70746.540000000008</v>
      </c>
      <c r="K67" s="114" t="s">
        <v>204</v>
      </c>
      <c r="L67" s="111"/>
      <c r="M67" s="111"/>
      <c r="N67" s="111"/>
      <c r="O67" s="111"/>
      <c r="P67" s="111"/>
    </row>
    <row r="68" spans="1:18" ht="23.25" thickBot="1">
      <c r="A68" s="27" t="s">
        <v>146</v>
      </c>
      <c r="B68" s="63"/>
      <c r="C68" s="63"/>
      <c r="D68" s="110"/>
      <c r="E68" s="109">
        <v>0</v>
      </c>
      <c r="K68" s="114" t="s">
        <v>203</v>
      </c>
      <c r="L68" s="111"/>
      <c r="M68" s="111"/>
      <c r="N68" s="111"/>
      <c r="O68" s="111"/>
      <c r="P68" s="111"/>
    </row>
    <row r="69" spans="1:18" ht="23.25" thickBot="1">
      <c r="A69" s="27" t="s">
        <v>146</v>
      </c>
      <c r="B69" s="63"/>
      <c r="C69" s="63"/>
      <c r="D69" s="110"/>
      <c r="E69" s="109">
        <v>0</v>
      </c>
      <c r="F69" s="46"/>
      <c r="K69" s="114" t="s">
        <v>202</v>
      </c>
      <c r="L69" s="111"/>
      <c r="M69" s="111"/>
      <c r="N69" s="111"/>
      <c r="O69" s="111"/>
      <c r="P69" s="111"/>
    </row>
    <row r="70" spans="1:18" ht="23.25" thickBot="1">
      <c r="A70" s="27" t="s">
        <v>34</v>
      </c>
      <c r="B70" s="63"/>
      <c r="C70" s="63"/>
      <c r="D70" s="110"/>
      <c r="E70" s="109">
        <v>2160</v>
      </c>
      <c r="K70" s="114" t="s">
        <v>201</v>
      </c>
      <c r="L70" s="111"/>
      <c r="M70" s="111"/>
      <c r="N70" s="111"/>
      <c r="O70" s="111"/>
      <c r="P70" s="111"/>
    </row>
    <row r="71" spans="1:18" ht="23.25" thickBot="1">
      <c r="A71" s="27" t="s">
        <v>34</v>
      </c>
      <c r="B71" s="63"/>
      <c r="C71" s="63"/>
      <c r="D71" s="110"/>
      <c r="E71" s="109">
        <v>2400</v>
      </c>
      <c r="K71" s="114" t="s">
        <v>200</v>
      </c>
      <c r="L71" s="111"/>
      <c r="M71" s="111"/>
      <c r="N71" s="111"/>
      <c r="O71" s="111"/>
      <c r="P71" s="111"/>
    </row>
    <row r="72" spans="1:18" ht="45.75" thickBot="1">
      <c r="A72" s="27" t="s">
        <v>34</v>
      </c>
      <c r="B72" s="63"/>
      <c r="C72" s="63"/>
      <c r="D72" s="110"/>
      <c r="E72" s="109">
        <v>4800</v>
      </c>
      <c r="K72" s="114" t="s">
        <v>199</v>
      </c>
      <c r="L72" s="111"/>
      <c r="M72" s="111"/>
      <c r="N72" s="111"/>
      <c r="O72" s="111"/>
      <c r="P72" s="111"/>
    </row>
    <row r="73" spans="1:18" ht="15.75" thickBot="1">
      <c r="A73" s="27" t="s">
        <v>34</v>
      </c>
      <c r="B73" s="63"/>
      <c r="C73" s="63"/>
      <c r="D73" s="110"/>
      <c r="E73" s="109">
        <v>2352</v>
      </c>
      <c r="K73" s="114" t="s">
        <v>198</v>
      </c>
      <c r="L73" s="111"/>
      <c r="M73" s="111"/>
      <c r="N73" s="111"/>
      <c r="O73" s="111"/>
      <c r="P73" s="111"/>
    </row>
    <row r="74" spans="1:18" ht="34.5" thickBot="1">
      <c r="A74" s="62" t="s">
        <v>178</v>
      </c>
      <c r="B74" s="63"/>
      <c r="C74" s="63"/>
      <c r="D74" s="110"/>
      <c r="E74" s="109">
        <v>6189.3</v>
      </c>
      <c r="K74" s="114" t="s">
        <v>197</v>
      </c>
      <c r="L74" s="111">
        <f>100+114.5+52.5+99</f>
        <v>366</v>
      </c>
      <c r="M74" s="111">
        <v>0</v>
      </c>
      <c r="N74" s="115">
        <f>O74-M74</f>
        <v>366</v>
      </c>
      <c r="O74" s="111">
        <v>366</v>
      </c>
      <c r="P74" s="115">
        <f>L74-N74</f>
        <v>0</v>
      </c>
      <c r="R74" s="46">
        <f>M74+N74</f>
        <v>366</v>
      </c>
    </row>
    <row r="75" spans="1:18" ht="23.25" thickBot="1">
      <c r="A75" s="62" t="s">
        <v>178</v>
      </c>
      <c r="B75" s="63"/>
      <c r="C75" s="63"/>
      <c r="D75" s="110"/>
      <c r="E75" s="109">
        <v>2815.5</v>
      </c>
      <c r="K75" s="114" t="s">
        <v>196</v>
      </c>
      <c r="L75" s="111">
        <f>16990.71+16968.82+17317.98+16818.4</f>
        <v>68095.91</v>
      </c>
      <c r="M75" s="111">
        <v>36677.22</v>
      </c>
      <c r="N75" s="111">
        <v>51277.51</v>
      </c>
      <c r="O75" s="111">
        <f>M75+N75</f>
        <v>87954.73000000001</v>
      </c>
      <c r="P75" s="115">
        <f>L75-N75</f>
        <v>16818.400000000001</v>
      </c>
      <c r="R75" s="46">
        <f>M75+N75</f>
        <v>87954.73000000001</v>
      </c>
    </row>
    <row r="76" spans="1:18" ht="23.25" thickBot="1">
      <c r="A76" s="62" t="s">
        <v>178</v>
      </c>
      <c r="B76" s="63"/>
      <c r="C76" s="63"/>
      <c r="D76" s="110"/>
      <c r="E76" s="109">
        <v>0</v>
      </c>
      <c r="F76" s="46">
        <f>SUM(E66:E76)</f>
        <v>167555.09</v>
      </c>
      <c r="K76" s="114" t="s">
        <v>195</v>
      </c>
      <c r="L76" s="111"/>
      <c r="M76" s="111"/>
      <c r="N76" s="111"/>
      <c r="O76" s="111"/>
      <c r="P76" s="111"/>
    </row>
    <row r="77" spans="1:18" ht="15.75" thickBot="1">
      <c r="A77" s="27" t="s">
        <v>72</v>
      </c>
      <c r="B77" s="63"/>
      <c r="C77" s="63"/>
      <c r="D77" s="110"/>
      <c r="E77" s="109">
        <v>100</v>
      </c>
      <c r="K77" s="113" t="s">
        <v>194</v>
      </c>
      <c r="L77" s="112">
        <f>SUM(L60:L76)</f>
        <v>1056431.53</v>
      </c>
      <c r="M77" s="111">
        <f>SUM(M60:M76)</f>
        <v>296284.11</v>
      </c>
      <c r="N77" s="111">
        <f>SUM(N60:N76)</f>
        <v>613800.30000000005</v>
      </c>
      <c r="O77" s="112">
        <f>SUM(O60:O76)</f>
        <v>910084.41</v>
      </c>
      <c r="P77" s="111">
        <f>SUM(P60:P76)</f>
        <v>442631.22999999992</v>
      </c>
      <c r="R77" s="46">
        <f>M77+N77</f>
        <v>910084.41</v>
      </c>
    </row>
    <row r="78" spans="1:18">
      <c r="A78" s="27" t="s">
        <v>72</v>
      </c>
      <c r="B78" s="63"/>
      <c r="C78" s="63"/>
      <c r="D78" s="110"/>
      <c r="E78" s="109">
        <v>114.5</v>
      </c>
    </row>
    <row r="79" spans="1:18">
      <c r="A79" s="27" t="s">
        <v>72</v>
      </c>
      <c r="B79" s="63"/>
      <c r="C79" s="63"/>
      <c r="D79" s="110"/>
      <c r="E79" s="109">
        <v>52.5</v>
      </c>
    </row>
    <row r="80" spans="1:18">
      <c r="A80" s="27" t="s">
        <v>72</v>
      </c>
      <c r="B80" s="63"/>
      <c r="C80" s="63"/>
      <c r="D80" s="110"/>
      <c r="E80" s="109">
        <v>99</v>
      </c>
      <c r="F80" s="46">
        <f>SUM(E77:E80)</f>
        <v>366</v>
      </c>
      <c r="G80" s="72" t="s">
        <v>193</v>
      </c>
    </row>
    <row r="81" spans="1:19">
      <c r="A81" s="27" t="s">
        <v>120</v>
      </c>
      <c r="B81" s="63"/>
      <c r="C81" s="63"/>
      <c r="D81" s="110"/>
      <c r="E81" s="109">
        <v>0</v>
      </c>
      <c r="N81" s="46">
        <f>L77+M77</f>
        <v>1352715.6400000001</v>
      </c>
      <c r="O81" s="46">
        <f>N81-O77</f>
        <v>442631.2300000001</v>
      </c>
    </row>
    <row r="82" spans="1:19">
      <c r="A82" s="27" t="s">
        <v>120</v>
      </c>
      <c r="B82" s="63"/>
      <c r="C82" s="63"/>
      <c r="D82" s="110"/>
      <c r="E82" s="109">
        <v>0</v>
      </c>
      <c r="L82" s="46">
        <f>SUM(L75:M75)</f>
        <v>104773.13</v>
      </c>
    </row>
    <row r="83" spans="1:19">
      <c r="A83" s="27" t="s">
        <v>120</v>
      </c>
      <c r="B83" s="63"/>
      <c r="C83" s="63"/>
      <c r="D83" s="110"/>
      <c r="E83" s="109">
        <v>0</v>
      </c>
    </row>
    <row r="84" spans="1:19">
      <c r="A84" s="27"/>
      <c r="B84" s="63"/>
      <c r="C84" s="63"/>
      <c r="D84" s="110"/>
      <c r="E84" s="109"/>
      <c r="F84" s="46"/>
      <c r="L84" s="72">
        <v>87954.73</v>
      </c>
      <c r="N84" s="72">
        <f>L84-M75</f>
        <v>51277.509999999995</v>
      </c>
    </row>
    <row r="85" spans="1:19">
      <c r="A85" s="27"/>
      <c r="B85" s="63"/>
      <c r="C85" s="63"/>
      <c r="D85" s="110"/>
      <c r="E85" s="109"/>
    </row>
    <row r="86" spans="1:19">
      <c r="A86" s="27"/>
      <c r="B86" s="63"/>
      <c r="C86" s="63"/>
      <c r="D86" s="110"/>
      <c r="E86" s="109">
        <v>0</v>
      </c>
      <c r="L86" s="46">
        <f>L82-L84</f>
        <v>16818.400000000009</v>
      </c>
      <c r="S86" s="72">
        <f>305702.22-171574.72</f>
        <v>134127.49999999997</v>
      </c>
    </row>
    <row r="87" spans="1:19">
      <c r="A87" s="27"/>
      <c r="B87" s="63"/>
      <c r="C87" s="63"/>
      <c r="D87" s="110"/>
      <c r="E87" s="109"/>
      <c r="O87" s="39"/>
    </row>
    <row r="88" spans="1:19">
      <c r="A88" s="49"/>
      <c r="E88" s="84"/>
      <c r="O88" s="39"/>
    </row>
    <row r="89" spans="1:19">
      <c r="A89" s="49"/>
      <c r="E89" s="84"/>
      <c r="O89" s="39"/>
    </row>
    <row r="90" spans="1:19">
      <c r="A90" s="49"/>
      <c r="E90" s="84"/>
      <c r="O90" s="39">
        <v>904579.24</v>
      </c>
    </row>
    <row r="91" spans="1:19">
      <c r="A91" s="49"/>
      <c r="E91" s="84"/>
      <c r="O91" s="39"/>
    </row>
    <row r="92" spans="1:19">
      <c r="A92" s="49"/>
      <c r="E92" s="84"/>
      <c r="O92" s="39">
        <v>169130.87</v>
      </c>
    </row>
    <row r="93" spans="1:19">
      <c r="E93" s="46"/>
      <c r="O93" s="39"/>
    </row>
    <row r="94" spans="1:19">
      <c r="E94" s="46">
        <f>SUM(E5:E80)</f>
        <v>910084.41</v>
      </c>
      <c r="O94" s="39">
        <f>O90-O92</f>
        <v>735448.37</v>
      </c>
    </row>
    <row r="95" spans="1:19">
      <c r="O95" s="39"/>
    </row>
    <row r="96" spans="1:19">
      <c r="O96" s="39"/>
    </row>
    <row r="97" spans="13:15">
      <c r="O97" s="39"/>
    </row>
    <row r="98" spans="13:15">
      <c r="M98" s="46">
        <f>E93-O94</f>
        <v>-735448.37</v>
      </c>
    </row>
    <row r="102" spans="13:15">
      <c r="O102" s="72">
        <v>257886.58</v>
      </c>
    </row>
    <row r="103" spans="13:15">
      <c r="O103" s="72">
        <v>260971.08</v>
      </c>
    </row>
    <row r="104" spans="13:15">
      <c r="O104" s="72">
        <v>267434.19</v>
      </c>
    </row>
    <row r="105" spans="13:15">
      <c r="O105" s="72">
        <v>267082.78999999998</v>
      </c>
    </row>
    <row r="107" spans="13:15">
      <c r="O107" s="72">
        <f>SUM(O102:O105)</f>
        <v>1053374.6399999999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workbookViewId="0">
      <selection activeCell="A6" sqref="A6:F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8" customHeight="1"/>
    <row r="4" spans="1:11" ht="18" customHeight="1">
      <c r="A4" s="318" t="s">
        <v>212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9.75" customHeight="1"/>
    <row r="6" spans="1:11">
      <c r="A6" s="323" t="s">
        <v>9</v>
      </c>
      <c r="B6" s="323"/>
      <c r="C6" s="323"/>
      <c r="D6" s="323"/>
      <c r="E6" s="323"/>
      <c r="F6" s="323"/>
      <c r="G6" s="323" t="s">
        <v>11</v>
      </c>
      <c r="H6" s="323"/>
      <c r="I6" s="323"/>
      <c r="J6" s="323"/>
      <c r="K6" s="323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145</v>
      </c>
      <c r="H10" s="7"/>
      <c r="I10" s="4"/>
      <c r="J10" s="19"/>
      <c r="K10" s="16"/>
    </row>
    <row r="11" spans="1:11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149</v>
      </c>
      <c r="H12" s="7"/>
      <c r="I12" s="4"/>
      <c r="J12" s="19"/>
      <c r="K12" s="16"/>
    </row>
    <row r="13" spans="1:11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147</v>
      </c>
      <c r="H13" s="7"/>
      <c r="I13" s="4"/>
      <c r="J13" s="19"/>
      <c r="K13" s="16"/>
    </row>
    <row r="14" spans="1:11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147</v>
      </c>
      <c r="H14" s="7"/>
      <c r="I14" s="4"/>
      <c r="J14" s="19"/>
      <c r="K14" s="16"/>
    </row>
    <row r="15" spans="1:11">
      <c r="A15" s="15">
        <v>43378</v>
      </c>
      <c r="B15" s="4">
        <v>92018</v>
      </c>
      <c r="C15" s="4" t="s">
        <v>188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145</v>
      </c>
      <c r="H16" s="7"/>
      <c r="I16" s="4"/>
      <c r="J16" s="19"/>
      <c r="K16" s="16"/>
    </row>
    <row r="17" spans="1:11">
      <c r="A17" s="15">
        <v>43378</v>
      </c>
      <c r="B17" s="4">
        <v>309379</v>
      </c>
      <c r="C17" s="4" t="s">
        <v>172</v>
      </c>
      <c r="D17" s="77">
        <v>92184.42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>
      <c r="A18" s="15">
        <v>43383</v>
      </c>
      <c r="B18" s="4">
        <v>638934</v>
      </c>
      <c r="C18" s="4" t="s">
        <v>216</v>
      </c>
      <c r="D18" s="77">
        <v>1614.5900000000001</v>
      </c>
      <c r="E18" s="5"/>
      <c r="F18" s="6">
        <f t="shared" si="0"/>
        <v>-1614.5900000000001</v>
      </c>
      <c r="G18" s="9" t="s">
        <v>218</v>
      </c>
      <c r="H18" s="7" t="s">
        <v>222</v>
      </c>
      <c r="I18" s="4">
        <v>1</v>
      </c>
      <c r="J18" s="19">
        <v>1</v>
      </c>
      <c r="K18" s="16"/>
    </row>
    <row r="19" spans="1:11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145</v>
      </c>
      <c r="H19" s="7"/>
      <c r="I19" s="4"/>
      <c r="J19" s="19"/>
      <c r="K19" s="16"/>
    </row>
    <row r="20" spans="1:11">
      <c r="A20" s="15">
        <v>43388</v>
      </c>
      <c r="B20" s="4">
        <v>582600</v>
      </c>
      <c r="C20" s="4" t="s">
        <v>173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223</v>
      </c>
      <c r="I20" s="4">
        <v>361</v>
      </c>
      <c r="J20" s="19">
        <v>5</v>
      </c>
      <c r="K20" s="16">
        <v>43382</v>
      </c>
    </row>
    <row r="21" spans="1:11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145</v>
      </c>
      <c r="H21" s="7"/>
      <c r="I21" s="4"/>
      <c r="J21" s="19"/>
      <c r="K21" s="16"/>
    </row>
    <row r="22" spans="1:11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174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174</v>
      </c>
      <c r="H23" s="7" t="s">
        <v>128</v>
      </c>
      <c r="I23" s="4">
        <v>20</v>
      </c>
      <c r="J23" s="19">
        <v>1</v>
      </c>
      <c r="K23" s="16">
        <v>43382</v>
      </c>
    </row>
    <row r="24" spans="1:11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174</v>
      </c>
      <c r="H24" s="7" t="s">
        <v>224</v>
      </c>
      <c r="I24" s="4">
        <v>10</v>
      </c>
      <c r="J24" s="19">
        <v>7</v>
      </c>
      <c r="K24" s="16">
        <v>43381</v>
      </c>
    </row>
    <row r="25" spans="1:11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145</v>
      </c>
      <c r="H25" s="7"/>
      <c r="I25" s="4"/>
      <c r="J25" s="19"/>
      <c r="K25" s="16"/>
    </row>
    <row r="26" spans="1:11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174</v>
      </c>
      <c r="H26" s="7" t="s">
        <v>127</v>
      </c>
      <c r="I26" s="4">
        <v>50</v>
      </c>
      <c r="J26" s="19">
        <v>7</v>
      </c>
      <c r="K26" s="16">
        <v>43381</v>
      </c>
    </row>
    <row r="27" spans="1:11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174</v>
      </c>
      <c r="H27" s="7" t="s">
        <v>180</v>
      </c>
      <c r="I27" s="4">
        <v>26</v>
      </c>
      <c r="J27" s="19">
        <v>5</v>
      </c>
      <c r="K27" s="16">
        <v>43381</v>
      </c>
    </row>
    <row r="28" spans="1:11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174</v>
      </c>
      <c r="H28" s="7" t="s">
        <v>61</v>
      </c>
      <c r="I28" s="4">
        <v>18</v>
      </c>
      <c r="J28" s="19">
        <v>7</v>
      </c>
      <c r="K28" s="16">
        <v>43382</v>
      </c>
    </row>
    <row r="29" spans="1:11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174</v>
      </c>
      <c r="H29" s="7" t="s">
        <v>183</v>
      </c>
      <c r="I29" s="4">
        <v>6</v>
      </c>
      <c r="J29" s="19">
        <v>4</v>
      </c>
      <c r="K29" s="16">
        <v>43381</v>
      </c>
    </row>
    <row r="30" spans="1:11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174</v>
      </c>
      <c r="H30" s="7" t="s">
        <v>184</v>
      </c>
      <c r="I30" s="4">
        <v>9</v>
      </c>
      <c r="J30" s="19">
        <v>4</v>
      </c>
      <c r="K30" s="16">
        <v>43383</v>
      </c>
    </row>
    <row r="31" spans="1:11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145</v>
      </c>
      <c r="H31" s="7"/>
      <c r="I31" s="4"/>
      <c r="J31" s="19"/>
      <c r="K31" s="16"/>
    </row>
    <row r="32" spans="1:11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145</v>
      </c>
      <c r="H32" s="7"/>
      <c r="I32" s="4"/>
      <c r="J32" s="19"/>
      <c r="K32" s="16"/>
    </row>
    <row r="33" spans="1:11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219</v>
      </c>
      <c r="H33" s="7" t="s">
        <v>225</v>
      </c>
      <c r="I33" s="4">
        <v>13</v>
      </c>
      <c r="J33" s="19">
        <v>1</v>
      </c>
      <c r="K33" s="16">
        <v>43378</v>
      </c>
    </row>
    <row r="34" spans="1:11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160</v>
      </c>
      <c r="I34" s="4">
        <v>1</v>
      </c>
      <c r="J34" s="19">
        <v>1</v>
      </c>
      <c r="K34" s="16"/>
    </row>
    <row r="35" spans="1:11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220</v>
      </c>
      <c r="H39" s="7" t="s">
        <v>189</v>
      </c>
      <c r="I39" s="4"/>
      <c r="J39" s="19"/>
      <c r="K39" s="16"/>
    </row>
    <row r="40" spans="1:11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175</v>
      </c>
      <c r="H40" s="7" t="s">
        <v>161</v>
      </c>
      <c r="I40" s="4">
        <v>1</v>
      </c>
      <c r="J40" s="19">
        <v>1</v>
      </c>
      <c r="K40" s="16"/>
    </row>
    <row r="41" spans="1:11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176</v>
      </c>
      <c r="H42" s="7"/>
      <c r="I42" s="4"/>
      <c r="J42" s="19"/>
      <c r="K42" s="16"/>
    </row>
    <row r="43" spans="1:11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174</v>
      </c>
      <c r="H44" s="7" t="s">
        <v>189</v>
      </c>
      <c r="I44" s="4">
        <v>2</v>
      </c>
      <c r="J44" s="19">
        <v>2</v>
      </c>
      <c r="K44" s="16">
        <v>43382</v>
      </c>
    </row>
    <row r="45" spans="1:11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145</v>
      </c>
      <c r="H45" s="7"/>
      <c r="I45" s="4"/>
      <c r="J45" s="19"/>
      <c r="K45" s="16"/>
    </row>
    <row r="46" spans="1:11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145</v>
      </c>
      <c r="H46" s="7"/>
      <c r="I46" s="4"/>
      <c r="J46" s="19"/>
      <c r="K46" s="16"/>
    </row>
    <row r="47" spans="1:11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151</v>
      </c>
      <c r="H47" s="7"/>
      <c r="I47" s="4"/>
      <c r="J47" s="19"/>
      <c r="K47" s="16"/>
    </row>
    <row r="48" spans="1:11">
      <c r="A48" s="15">
        <v>43404</v>
      </c>
      <c r="B48" s="4">
        <v>20</v>
      </c>
      <c r="C48" s="4" t="s">
        <v>217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221</v>
      </c>
      <c r="H49" s="7"/>
      <c r="I49" s="4"/>
      <c r="J49" s="19"/>
      <c r="K49" s="16"/>
    </row>
    <row r="50" spans="1:11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>
      <c r="A51" s="324" t="s">
        <v>12</v>
      </c>
      <c r="B51" s="325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>
      <c r="A56" s="299" t="s">
        <v>123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8" customHeight="1"/>
    <row r="58" spans="1:11" ht="18" customHeight="1">
      <c r="A58" s="318" t="s">
        <v>213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</row>
    <row r="59" spans="1:11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19" t="s">
        <v>21</v>
      </c>
      <c r="B60" s="320"/>
      <c r="C60" s="320"/>
      <c r="D60" s="320"/>
      <c r="E60" s="321"/>
      <c r="F60" s="3"/>
      <c r="G60" s="322" t="s">
        <v>20</v>
      </c>
      <c r="H60" s="322"/>
      <c r="I60" s="322"/>
      <c r="J60" s="322"/>
      <c r="K60" s="24"/>
    </row>
    <row r="61" spans="1:11">
      <c r="A61" s="28" t="s">
        <v>149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147</v>
      </c>
      <c r="H61" s="26"/>
      <c r="I61" s="306">
        <f>SUMIF($G$8:$G$50,G61,$E$8:$E$50)</f>
        <v>249997.75</v>
      </c>
      <c r="J61" s="307"/>
      <c r="K61" s="24"/>
    </row>
    <row r="62" spans="1:11">
      <c r="A62" s="27" t="s">
        <v>174</v>
      </c>
      <c r="B62" s="63"/>
      <c r="C62" s="63"/>
      <c r="D62" s="80"/>
      <c r="E62" s="29">
        <f t="shared" si="1"/>
        <v>83821.42</v>
      </c>
      <c r="F62" s="3"/>
      <c r="G62" s="316" t="s">
        <v>145</v>
      </c>
      <c r="H62" s="317"/>
      <c r="I62" s="306">
        <f>SUMIF($G$8:$G$50,G62,$E$8:$E$50)</f>
        <v>236768.9</v>
      </c>
      <c r="J62" s="307"/>
      <c r="K62" s="24"/>
    </row>
    <row r="63" spans="1:11">
      <c r="A63" s="27" t="s">
        <v>177</v>
      </c>
      <c r="B63" s="63"/>
      <c r="C63" s="63"/>
      <c r="D63" s="80"/>
      <c r="E63" s="29">
        <f t="shared" si="1"/>
        <v>0</v>
      </c>
      <c r="F63" s="3"/>
      <c r="G63" s="316" t="s">
        <v>121</v>
      </c>
      <c r="H63" s="317"/>
      <c r="I63" s="306">
        <f>SUMIF($G$8:$G$50,G63,$E$8:$E$50)</f>
        <v>0</v>
      </c>
      <c r="J63" s="307"/>
      <c r="K63" s="24"/>
    </row>
    <row r="64" spans="1:11">
      <c r="A64" s="27" t="s">
        <v>175</v>
      </c>
      <c r="B64" s="63"/>
      <c r="C64" s="63"/>
      <c r="D64" s="80"/>
      <c r="E64" s="29">
        <f t="shared" si="1"/>
        <v>11452</v>
      </c>
      <c r="F64" s="3"/>
      <c r="G64" s="316" t="s">
        <v>221</v>
      </c>
      <c r="H64" s="317"/>
      <c r="I64" s="306">
        <f>SUMIF($G$8:$G$50,G64,$E$8:$E$50)</f>
        <v>4600.54</v>
      </c>
      <c r="J64" s="307"/>
      <c r="K64" s="24"/>
    </row>
    <row r="65" spans="1:11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306">
        <f>SUMIF($G$8:$G$50,G65,$E$8:$E$50)</f>
        <v>0</v>
      </c>
      <c r="J65" s="307"/>
      <c r="K65" s="24"/>
    </row>
    <row r="66" spans="1:11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302">
        <f>SUM(I61:J65)</f>
        <v>491367.19</v>
      </c>
      <c r="J66" s="303"/>
      <c r="K66" s="61">
        <f>E51-I66</f>
        <v>0</v>
      </c>
    </row>
    <row r="67" spans="1:11">
      <c r="A67" s="27" t="s">
        <v>148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>
      <c r="A68" s="27" t="s">
        <v>219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106" t="s">
        <v>19</v>
      </c>
      <c r="H69" s="107"/>
      <c r="I69" s="306">
        <f>'CEF Setembro 2018'!I66:J66</f>
        <v>169130.86999999997</v>
      </c>
      <c r="J69" s="307"/>
    </row>
    <row r="70" spans="1:11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149</v>
      </c>
      <c r="H70" s="107"/>
      <c r="I70" s="306">
        <f>SUMIF($G$8:$G$50,G70,$D$8:$D$50)</f>
        <v>249997.75</v>
      </c>
      <c r="J70" s="307"/>
    </row>
    <row r="71" spans="1:11">
      <c r="A71" s="27" t="s">
        <v>218</v>
      </c>
      <c r="B71" s="63"/>
      <c r="C71" s="63"/>
      <c r="D71" s="80"/>
      <c r="E71" s="29">
        <f t="shared" si="1"/>
        <v>1614.5900000000001</v>
      </c>
      <c r="F71" s="3"/>
      <c r="G71" s="316" t="s">
        <v>145</v>
      </c>
      <c r="H71" s="317"/>
      <c r="I71" s="306">
        <f>-SUMIF($G$8:$G$50,G71,$E$8:$E$50)</f>
        <v>-236768.9</v>
      </c>
      <c r="J71" s="307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106" t="s">
        <v>30</v>
      </c>
      <c r="H72" s="107"/>
      <c r="I72" s="306">
        <v>1005.42</v>
      </c>
      <c r="J72" s="307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30"/>
      <c r="H73" s="31"/>
      <c r="I73" s="314"/>
      <c r="J73" s="315"/>
    </row>
    <row r="74" spans="1:11">
      <c r="A74" s="27" t="s">
        <v>220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310">
        <f>SUM(I69:J72)</f>
        <v>183365.14</v>
      </c>
      <c r="J74" s="311"/>
    </row>
    <row r="75" spans="1:11">
      <c r="A75" s="27" t="s">
        <v>151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10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312"/>
      <c r="J76" s="313"/>
      <c r="K76" s="24"/>
    </row>
    <row r="77" spans="1:11">
      <c r="A77" s="27" t="s">
        <v>176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304">
        <f>'CEF Setembro 2018'!I73:J73</f>
        <v>0</v>
      </c>
      <c r="J77" s="305"/>
      <c r="K77" s="24"/>
    </row>
    <row r="78" spans="1:11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107"/>
      <c r="I78" s="306">
        <f>SUMIF($G$8:$G$50,G78,$E$8:$E$50)</f>
        <v>0</v>
      </c>
      <c r="J78" s="307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106" t="s">
        <v>14</v>
      </c>
      <c r="H79" s="107"/>
      <c r="I79" s="306">
        <f>-SUMIF($G$8:$G$50,G79,$D$8:$D$50)</f>
        <v>0</v>
      </c>
      <c r="J79" s="307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30"/>
      <c r="H80" s="31"/>
      <c r="I80" s="314"/>
      <c r="J80" s="315"/>
      <c r="K80" s="24"/>
    </row>
    <row r="81" spans="1:13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302">
        <f>SUM(I77:J80)</f>
        <v>0</v>
      </c>
      <c r="J81" s="303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108"/>
      <c r="K82" s="24"/>
    </row>
    <row r="83" spans="1:13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06" t="s">
        <v>19</v>
      </c>
      <c r="H84" s="107"/>
      <c r="I84" s="308">
        <f>'CEF Setembro 2018'!I80:J80</f>
        <v>16000</v>
      </c>
      <c r="J84" s="309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106" t="s">
        <v>42</v>
      </c>
      <c r="H85" s="107"/>
      <c r="I85" s="291">
        <f>249997.75+16000</f>
        <v>265997.75</v>
      </c>
      <c r="J85" s="292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106" t="s">
        <v>147</v>
      </c>
      <c r="H86" s="107"/>
      <c r="I86" s="306">
        <f>-SUMIF($G$8:$G$50,G86,$E$8:$E$50)</f>
        <v>-249997.75</v>
      </c>
      <c r="J86" s="307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300"/>
      <c r="J87" s="301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310">
        <f>SUM(I84:J87)</f>
        <v>32000</v>
      </c>
      <c r="J88" s="311"/>
      <c r="K88" s="24"/>
      <c r="M88" s="39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304">
        <f>'CEF Setembro 2018'!I87:J87</f>
        <v>16818.400000000005</v>
      </c>
      <c r="J91" s="305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27" t="s">
        <v>214</v>
      </c>
      <c r="H92" s="41"/>
      <c r="I92" s="306">
        <v>17609.27</v>
      </c>
      <c r="J92" s="307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306"/>
      <c r="J93" s="307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9" t="s">
        <v>176</v>
      </c>
      <c r="H94" s="60"/>
      <c r="I94" s="300">
        <f>-SUMIF($G$8:$G$50,G94,$D$8:$D$50)</f>
        <v>-16818.400000000001</v>
      </c>
      <c r="J94" s="301"/>
      <c r="K94" s="24"/>
    </row>
    <row r="95" spans="1:13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302">
        <f>SUM(I91:J94)</f>
        <v>17609.270000000004</v>
      </c>
      <c r="J95" s="303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10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>
      <c r="A98" s="30"/>
      <c r="B98" s="85"/>
      <c r="C98" s="85"/>
      <c r="D98" s="86"/>
      <c r="E98" s="87"/>
      <c r="F98" s="3"/>
      <c r="G98" s="106" t="s">
        <v>140</v>
      </c>
      <c r="H98" s="107"/>
      <c r="I98" s="291">
        <f>'CEF Setembro 2018'!I94:J94</f>
        <v>57586.930000000008</v>
      </c>
      <c r="J98" s="292"/>
      <c r="K98" s="24"/>
    </row>
    <row r="99" spans="1:11">
      <c r="A99" s="297" t="s">
        <v>22</v>
      </c>
      <c r="B99" s="298"/>
      <c r="C99" s="298"/>
      <c r="D99" s="81"/>
      <c r="E99" s="35">
        <f>SUM(E61:E97)</f>
        <v>486803.15</v>
      </c>
      <c r="F99" s="3"/>
      <c r="G99" s="27" t="s">
        <v>215</v>
      </c>
      <c r="H99" s="107"/>
      <c r="I99" s="291">
        <v>29808.79</v>
      </c>
      <c r="J99" s="292"/>
      <c r="K99" s="24"/>
    </row>
    <row r="100" spans="1:11">
      <c r="F100" s="3"/>
      <c r="G100" s="106"/>
      <c r="H100" s="107"/>
      <c r="I100" s="291"/>
      <c r="J100" s="292"/>
      <c r="K100" s="24"/>
    </row>
    <row r="101" spans="1:11">
      <c r="E101" s="46">
        <f>D51-E99</f>
        <v>0</v>
      </c>
      <c r="F101" s="3"/>
      <c r="G101" s="27"/>
      <c r="H101" s="41"/>
      <c r="I101" s="295"/>
      <c r="J101" s="296"/>
      <c r="K101" s="24"/>
    </row>
    <row r="102" spans="1:11">
      <c r="F102" s="3"/>
      <c r="G102" s="89" t="s">
        <v>18</v>
      </c>
      <c r="H102" s="88"/>
      <c r="I102" s="302">
        <f>SUM(I98:J101)</f>
        <v>87395.72</v>
      </c>
      <c r="J102" s="303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72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sortState ref="A61:E84">
    <sortCondition ref="A61"/>
  </sortState>
  <mergeCells count="47">
    <mergeCell ref="A99:C99"/>
    <mergeCell ref="I99:J99"/>
    <mergeCell ref="I100:J100"/>
    <mergeCell ref="I101:J101"/>
    <mergeCell ref="I102:J102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A56:K56"/>
    <mergeCell ref="A2:K2"/>
    <mergeCell ref="A4:K4"/>
    <mergeCell ref="A6:F6"/>
    <mergeCell ref="G6:K6"/>
    <mergeCell ref="A51:B51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62</vt:i4>
      </vt:variant>
      <vt:variant>
        <vt:lpstr>Intervalos nomeados</vt:lpstr>
      </vt:variant>
      <vt:variant>
        <vt:i4>33</vt:i4>
      </vt:variant>
    </vt:vector>
  </HeadingPairs>
  <TitlesOfParts>
    <vt:vector size="95" baseType="lpstr">
      <vt:lpstr>CEF Abril 2018</vt:lpstr>
      <vt:lpstr>CEF Maio 2018</vt:lpstr>
      <vt:lpstr>Rp 14 - 03 a 05 2018</vt:lpstr>
      <vt:lpstr>CEF Junho 2018</vt:lpstr>
      <vt:lpstr>CEF Julho 2018</vt:lpstr>
      <vt:lpstr>CEF Agosto 2018</vt:lpstr>
      <vt:lpstr>CEF Setembro 2018</vt:lpstr>
      <vt:lpstr>Rp 14 - 06 a 09 2018</vt:lpstr>
      <vt:lpstr>CEF Outubro 2018</vt:lpstr>
      <vt:lpstr>Rp 14 - 10 2018</vt:lpstr>
      <vt:lpstr>CEF Novembro 2018</vt:lpstr>
      <vt:lpstr>Rp 14 - 11 2018</vt:lpstr>
      <vt:lpstr>CEF Dezembro 2018</vt:lpstr>
      <vt:lpstr>Rp 14 - 12 2018</vt:lpstr>
      <vt:lpstr>Rp 14 - ANUAL 2018</vt:lpstr>
      <vt:lpstr>CEF Janeiro 2019</vt:lpstr>
      <vt:lpstr>Rp 14 - 01 2019</vt:lpstr>
      <vt:lpstr>CEF Fevereiro 2019</vt:lpstr>
      <vt:lpstr>Rp 14 - 02 2019</vt:lpstr>
      <vt:lpstr>CEF Março 2019</vt:lpstr>
      <vt:lpstr>Rp 14 - 03 2019</vt:lpstr>
      <vt:lpstr>CEF Abril 2019</vt:lpstr>
      <vt:lpstr>Rp 14 - 04 2019</vt:lpstr>
      <vt:lpstr>CEF Maio 2019</vt:lpstr>
      <vt:lpstr>Rp 14 - 05 2019</vt:lpstr>
      <vt:lpstr>CEF Junho 2019</vt:lpstr>
      <vt:lpstr>Rp 14 - 06 2019</vt:lpstr>
      <vt:lpstr>CEF Julho 2019</vt:lpstr>
      <vt:lpstr>Rp 14 - 07 2019</vt:lpstr>
      <vt:lpstr>CEF Agosto 2019</vt:lpstr>
      <vt:lpstr>Rp 14 - 08 2019</vt:lpstr>
      <vt:lpstr>CEF Setembro 2019</vt:lpstr>
      <vt:lpstr>Rp 14 - 09 2019</vt:lpstr>
      <vt:lpstr>CEF Outubro 2019</vt:lpstr>
      <vt:lpstr>Rp 14 - 10 2019</vt:lpstr>
      <vt:lpstr>CEF Novembro 2019</vt:lpstr>
      <vt:lpstr>Rp 14 - 11 2019</vt:lpstr>
      <vt:lpstr>CEF Dezembro 2019</vt:lpstr>
      <vt:lpstr>Rp 14 - 12 2019</vt:lpstr>
      <vt:lpstr>Rp 14 - Anual 2019</vt:lpstr>
      <vt:lpstr>CEF Janeiro 2020</vt:lpstr>
      <vt:lpstr>Rp 14 - 01 2020</vt:lpstr>
      <vt:lpstr>CEF Fevereiro 2020</vt:lpstr>
      <vt:lpstr>Rp 14 - 02 2020</vt:lpstr>
      <vt:lpstr>CEF Março 2020</vt:lpstr>
      <vt:lpstr>Rp 14 - 03 2020</vt:lpstr>
      <vt:lpstr>CEF Abril 2020</vt:lpstr>
      <vt:lpstr>Rp 14 - 04 2020</vt:lpstr>
      <vt:lpstr>CEF Maio 2020</vt:lpstr>
      <vt:lpstr>Rp 14 - 05 2020</vt:lpstr>
      <vt:lpstr>CEF Junho 2020</vt:lpstr>
      <vt:lpstr>Rp 14 - 06 2020</vt:lpstr>
      <vt:lpstr>CEF Julho 2020</vt:lpstr>
      <vt:lpstr>Rp 14 - 07 2020</vt:lpstr>
      <vt:lpstr>CEF Agosto 2020</vt:lpstr>
      <vt:lpstr>Rp 14 - 08 2020</vt:lpstr>
      <vt:lpstr>CEF Setembro 2020</vt:lpstr>
      <vt:lpstr>CEF 901925-5 Setembro 2020 </vt:lpstr>
      <vt:lpstr>Rp 14 - 09 2020</vt:lpstr>
      <vt:lpstr>CEF 1925-8 Outubro 2020</vt:lpstr>
      <vt:lpstr>CEF 901925-5 Outubro 2020</vt:lpstr>
      <vt:lpstr>Rp 14 - 10 2020</vt:lpstr>
      <vt:lpstr>'CEF 1925-8 Outubro 2020'!Area_de_impressao</vt:lpstr>
      <vt:lpstr>'CEF 901925-5 Outubro 2020'!Area_de_impressao</vt:lpstr>
      <vt:lpstr>'CEF 901925-5 Setembro 2020 '!Area_de_impressao</vt:lpstr>
      <vt:lpstr>'CEF Abril 2018'!Area_de_impressao</vt:lpstr>
      <vt:lpstr>'CEF Abril 2019'!Area_de_impressao</vt:lpstr>
      <vt:lpstr>'CEF Abril 2020'!Area_de_impressao</vt:lpstr>
      <vt:lpstr>'CEF Agosto 2018'!Area_de_impressao</vt:lpstr>
      <vt:lpstr>'CEF Agosto 2019'!Area_de_impressao</vt:lpstr>
      <vt:lpstr>'CEF Agosto 2020'!Area_de_impressao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Julho 2020'!Area_de_impressao</vt:lpstr>
      <vt:lpstr>'CEF Junho 2018'!Area_de_impressao</vt:lpstr>
      <vt:lpstr>'CEF Junho 2019'!Area_de_impressao</vt:lpstr>
      <vt:lpstr>'CEF Junho 2020'!Area_de_impressao</vt:lpstr>
      <vt:lpstr>'CEF Maio 2018'!Area_de_impressao</vt:lpstr>
      <vt:lpstr>'CEF Maio 2019'!Area_de_impressao</vt:lpstr>
      <vt:lpstr>'CEF Maio 2020'!Area_de_impressao</vt:lpstr>
      <vt:lpstr>'CEF Março 2019'!Area_de_impressao</vt:lpstr>
      <vt:lpstr>'CEF Março 2020'!Area_de_impressao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  <vt:lpstr>'CEF Setembro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Serviço de Atendimento ao Consumidor</cp:lastModifiedBy>
  <cp:lastPrinted>2021-01-14T13:42:00Z</cp:lastPrinted>
  <dcterms:created xsi:type="dcterms:W3CDTF">2016-11-16T16:48:10Z</dcterms:created>
  <dcterms:modified xsi:type="dcterms:W3CDTF">2021-01-14T15:20:25Z</dcterms:modified>
</cp:coreProperties>
</file>